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V:\Contabilidade\AreaComum\Administracao\Adriana Contabil\2026\2026 CAC\13.Relatórios\"/>
    </mc:Choice>
  </mc:AlternateContent>
  <xr:revisionPtr revIDLastSave="0" documentId="13_ncr:1_{4F222147-A5CB-4B58-AE90-92EC8DAABAF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Jan" sheetId="2" r:id="rId1"/>
    <sheet name="Fev" sheetId="3" r:id="rId2"/>
    <sheet name="Mar" sheetId="5" state="hidden" r:id="rId3"/>
    <sheet name="Abr" sheetId="7" state="hidden" r:id="rId4"/>
    <sheet name="Mai" sheetId="8" state="hidden" r:id="rId5"/>
    <sheet name="Jun" sheetId="9" state="hidden" r:id="rId6"/>
    <sheet name="Jul" sheetId="10" state="hidden" r:id="rId7"/>
    <sheet name="Agosto" sheetId="11" state="hidden" r:id="rId8"/>
    <sheet name="Setembro" sheetId="12" state="hidden" r:id="rId9"/>
    <sheet name="Outubro" sheetId="13" state="hidden" r:id="rId10"/>
    <sheet name="Novembro" sheetId="14" state="hidden" r:id="rId11"/>
    <sheet name="Dezembro" sheetId="15" state="hidden" r:id="rId12"/>
    <sheet name="2026" sheetId="4" r:id="rId13"/>
  </sheets>
  <externalReferences>
    <externalReference r:id="rId14"/>
  </externalReferences>
  <definedNames>
    <definedName name="_xlnm.Print_Area" localSheetId="3">Abr!$A$1:$L$81</definedName>
    <definedName name="_xlnm.Print_Area" localSheetId="7">Agosto!$A$1:$L$81</definedName>
    <definedName name="_xlnm.Print_Area" localSheetId="11">Dezembro!$A$1:$L$81</definedName>
    <definedName name="_xlnm.Print_Area" localSheetId="1">Fev!$A$1:$K$81</definedName>
    <definedName name="_xlnm.Print_Area" localSheetId="0">Jan!$A$1:$K$81</definedName>
    <definedName name="_xlnm.Print_Area" localSheetId="6">Jul!$A$1:$K$81</definedName>
    <definedName name="_xlnm.Print_Area" localSheetId="5">Jun!$A$1:$K$81</definedName>
    <definedName name="_xlnm.Print_Area" localSheetId="4">Mai!$A$1:$K$81</definedName>
    <definedName name="_xlnm.Print_Area" localSheetId="2">Mar!$A$1:$K$81</definedName>
    <definedName name="_xlnm.Print_Area" localSheetId="10">Novembro!$A$1:$K$81</definedName>
    <definedName name="_xlnm.Print_Area" localSheetId="9">Outubro!$A$1:$L$81</definedName>
    <definedName name="_xlnm.Print_Area" localSheetId="8">Setembro!$A$1:$K$81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3" l="1"/>
  <c r="N51" i="4" l="1"/>
  <c r="N50" i="4"/>
  <c r="N45" i="4"/>
  <c r="N43" i="4"/>
  <c r="N41" i="4"/>
  <c r="N39" i="4"/>
  <c r="N34" i="4"/>
  <c r="N33" i="4"/>
  <c r="N32" i="4"/>
  <c r="N31" i="4"/>
  <c r="N30" i="4"/>
  <c r="N29" i="4"/>
  <c r="N28" i="4"/>
  <c r="N27" i="4"/>
  <c r="N16" i="4"/>
  <c r="N10" i="4"/>
  <c r="B65" i="3" l="1"/>
  <c r="B30" i="3"/>
  <c r="B33" i="3"/>
  <c r="B27" i="3"/>
  <c r="B56" i="3"/>
  <c r="G59" i="3" l="1"/>
  <c r="G52" i="3"/>
  <c r="K17" i="3" l="1"/>
  <c r="B27" i="2"/>
  <c r="B65" i="2"/>
  <c r="B30" i="2"/>
  <c r="B32" i="2"/>
  <c r="B33" i="2"/>
  <c r="G59" i="2"/>
  <c r="G38" i="2"/>
  <c r="G52" i="2"/>
  <c r="B28" i="2" l="1"/>
  <c r="B23" i="2"/>
  <c r="B16" i="2"/>
  <c r="B10" i="2"/>
  <c r="G26" i="2"/>
  <c r="K18" i="2" l="1"/>
  <c r="B8" i="2" l="1"/>
  <c r="B30" i="15"/>
  <c r="B32" i="15"/>
  <c r="B33" i="15"/>
  <c r="G37" i="15"/>
  <c r="B65" i="15"/>
  <c r="B66" i="15"/>
  <c r="B27" i="15"/>
  <c r="G51" i="15"/>
  <c r="G26" i="15" l="1"/>
  <c r="L17" i="15"/>
  <c r="B67" i="15" l="1"/>
  <c r="B73" i="15" s="1"/>
  <c r="B74" i="15" s="1"/>
  <c r="B62" i="15"/>
  <c r="B70" i="15" s="1"/>
  <c r="B78" i="15" s="1"/>
  <c r="B46" i="15"/>
  <c r="B42" i="15"/>
  <c r="B38" i="15"/>
  <c r="B37" i="15" s="1"/>
  <c r="B26" i="15"/>
  <c r="B24" i="15"/>
  <c r="B30" i="14"/>
  <c r="B33" i="14"/>
  <c r="B32" i="14"/>
  <c r="G26" i="14"/>
  <c r="B27" i="14"/>
  <c r="B57" i="15" l="1"/>
  <c r="B58" i="15" s="1"/>
  <c r="K17" i="14"/>
  <c r="B67" i="14"/>
  <c r="B73" i="14" s="1"/>
  <c r="B62" i="14"/>
  <c r="B70" i="14" s="1"/>
  <c r="B78" i="14" s="1"/>
  <c r="G51" i="14"/>
  <c r="B46" i="14"/>
  <c r="B42" i="14"/>
  <c r="B38" i="14"/>
  <c r="B37" i="14" s="1"/>
  <c r="G37" i="14"/>
  <c r="B26" i="14"/>
  <c r="B24" i="14"/>
  <c r="B27" i="13"/>
  <c r="B30" i="13"/>
  <c r="B32" i="13"/>
  <c r="B33" i="13"/>
  <c r="G51" i="13"/>
  <c r="G37" i="13"/>
  <c r="B65" i="13"/>
  <c r="G25" i="13"/>
  <c r="B74" i="14" l="1"/>
  <c r="B57" i="14"/>
  <c r="B58" i="14" s="1"/>
  <c r="L17" i="13"/>
  <c r="B67" i="13"/>
  <c r="B73" i="13" s="1"/>
  <c r="B74" i="13" s="1"/>
  <c r="B62" i="13"/>
  <c r="B70" i="13" s="1"/>
  <c r="B78" i="13" s="1"/>
  <c r="B46" i="13"/>
  <c r="B42" i="13"/>
  <c r="B38" i="13"/>
  <c r="B37" i="13" s="1"/>
  <c r="B26" i="13"/>
  <c r="B24" i="13"/>
  <c r="B30" i="12"/>
  <c r="B32" i="12"/>
  <c r="B33" i="12"/>
  <c r="G24" i="12"/>
  <c r="N49" i="4"/>
  <c r="N48" i="4"/>
  <c r="B57" i="13" l="1"/>
  <c r="B58" i="13" s="1"/>
  <c r="B65" i="12" l="1"/>
  <c r="G37" i="12"/>
  <c r="G51" i="12"/>
  <c r="K17" i="12" l="1"/>
  <c r="B67" i="12"/>
  <c r="B73" i="12" s="1"/>
  <c r="B74" i="12" s="1"/>
  <c r="B62" i="12"/>
  <c r="B70" i="12" s="1"/>
  <c r="B78" i="12" s="1"/>
  <c r="B46" i="12"/>
  <c r="B42" i="12"/>
  <c r="B38" i="12"/>
  <c r="B37" i="12" s="1"/>
  <c r="B26" i="12"/>
  <c r="B24" i="12"/>
  <c r="B27" i="11"/>
  <c r="B51" i="11"/>
  <c r="B43" i="11"/>
  <c r="B41" i="11"/>
  <c r="B39" i="11"/>
  <c r="B33" i="11"/>
  <c r="B31" i="11"/>
  <c r="B30" i="11"/>
  <c r="B28" i="11"/>
  <c r="G24" i="11"/>
  <c r="B32" i="11"/>
  <c r="B57" i="12" l="1"/>
  <c r="B58" i="12" s="1"/>
  <c r="B65" i="11"/>
  <c r="I46" i="4"/>
  <c r="J46" i="4"/>
  <c r="K46" i="4"/>
  <c r="L46" i="4"/>
  <c r="M38" i="4"/>
  <c r="I42" i="4"/>
  <c r="J42" i="4"/>
  <c r="K42" i="4"/>
  <c r="L42" i="4"/>
  <c r="I38" i="4"/>
  <c r="I37" i="4" s="1"/>
  <c r="J38" i="4"/>
  <c r="J37" i="4" s="1"/>
  <c r="K38" i="4"/>
  <c r="K37" i="4" s="1"/>
  <c r="L38" i="4"/>
  <c r="L37" i="4" s="1"/>
  <c r="I24" i="4"/>
  <c r="J24" i="4"/>
  <c r="K24" i="4"/>
  <c r="L24" i="4"/>
  <c r="I26" i="4"/>
  <c r="J26" i="4"/>
  <c r="K26" i="4"/>
  <c r="L26" i="4"/>
  <c r="L15" i="11"/>
  <c r="L17" i="11" s="1"/>
  <c r="B67" i="11"/>
  <c r="B73" i="11" s="1"/>
  <c r="B74" i="11" s="1"/>
  <c r="B62" i="11"/>
  <c r="B70" i="11" s="1"/>
  <c r="B78" i="11" s="1"/>
  <c r="G51" i="11"/>
  <c r="B46" i="11"/>
  <c r="B42" i="11"/>
  <c r="B38" i="11"/>
  <c r="B37" i="11" s="1"/>
  <c r="G37" i="11"/>
  <c r="B26" i="11"/>
  <c r="B24" i="11"/>
  <c r="B27" i="10"/>
  <c r="B30" i="10"/>
  <c r="B32" i="10"/>
  <c r="B33" i="10"/>
  <c r="G51" i="10"/>
  <c r="G25" i="10"/>
  <c r="G25" i="9"/>
  <c r="I62" i="4"/>
  <c r="J62" i="4"/>
  <c r="K62" i="4"/>
  <c r="L62" i="4"/>
  <c r="M62" i="4"/>
  <c r="H46" i="4"/>
  <c r="H38" i="4"/>
  <c r="H24" i="4"/>
  <c r="M46" i="4" l="1"/>
  <c r="M26" i="4"/>
  <c r="M42" i="4"/>
  <c r="M37" i="4"/>
  <c r="M24" i="4"/>
  <c r="B57" i="11"/>
  <c r="H26" i="4"/>
  <c r="H42" i="4"/>
  <c r="H37" i="4"/>
  <c r="B58" i="11" l="1"/>
  <c r="H57" i="4"/>
  <c r="H58" i="4" s="1"/>
  <c r="B65" i="10" l="1"/>
  <c r="K15" i="10"/>
  <c r="K17" i="10" s="1"/>
  <c r="B62" i="10"/>
  <c r="B70" i="10" s="1"/>
  <c r="B78" i="10" s="1"/>
  <c r="B46" i="10"/>
  <c r="B42" i="10"/>
  <c r="B38" i="10"/>
  <c r="B37" i="10" s="1"/>
  <c r="G37" i="10"/>
  <c r="B26" i="10"/>
  <c r="B24" i="10"/>
  <c r="B27" i="9"/>
  <c r="B30" i="9"/>
  <c r="B33" i="9"/>
  <c r="G37" i="9"/>
  <c r="G58" i="9"/>
  <c r="B67" i="10" l="1"/>
  <c r="B73" i="10"/>
  <c r="B57" i="10"/>
  <c r="B65" i="9"/>
  <c r="K17" i="9"/>
  <c r="G46" i="4"/>
  <c r="G42" i="4"/>
  <c r="G38" i="4"/>
  <c r="G37" i="4" s="1"/>
  <c r="G26" i="4"/>
  <c r="G13" i="4"/>
  <c r="B73" i="9"/>
  <c r="B74" i="9" s="1"/>
  <c r="B67" i="9"/>
  <c r="B62" i="9"/>
  <c r="B70" i="9" s="1"/>
  <c r="B78" i="9" s="1"/>
  <c r="G51" i="9"/>
  <c r="B46" i="9"/>
  <c r="B42" i="9"/>
  <c r="B38" i="9"/>
  <c r="B37" i="9" s="1"/>
  <c r="B26" i="9"/>
  <c r="B24" i="9"/>
  <c r="B27" i="8"/>
  <c r="F13" i="4"/>
  <c r="F46" i="4"/>
  <c r="F42" i="4"/>
  <c r="F38" i="4"/>
  <c r="F37" i="4" s="1"/>
  <c r="B30" i="8"/>
  <c r="B32" i="8"/>
  <c r="B33" i="8"/>
  <c r="G59" i="8"/>
  <c r="B74" i="10" l="1"/>
  <c r="F24" i="4"/>
  <c r="F26" i="4"/>
  <c r="B58" i="10"/>
  <c r="G57" i="4"/>
  <c r="G24" i="4"/>
  <c r="B57" i="9"/>
  <c r="B65" i="8"/>
  <c r="B67" i="8" s="1"/>
  <c r="G26" i="8"/>
  <c r="K17" i="8"/>
  <c r="B62" i="8"/>
  <c r="B70" i="8" s="1"/>
  <c r="B78" i="8" s="1"/>
  <c r="G52" i="8"/>
  <c r="B46" i="8"/>
  <c r="B42" i="8"/>
  <c r="G38" i="8"/>
  <c r="B38" i="8"/>
  <c r="B37" i="8" s="1"/>
  <c r="B26" i="8"/>
  <c r="B24" i="8"/>
  <c r="E36" i="4"/>
  <c r="E34" i="4"/>
  <c r="E13" i="4"/>
  <c r="B30" i="7"/>
  <c r="B32" i="7"/>
  <c r="B33" i="7"/>
  <c r="B27" i="7"/>
  <c r="G26" i="7"/>
  <c r="B65" i="7"/>
  <c r="G52" i="7"/>
  <c r="G58" i="4" l="1"/>
  <c r="B58" i="9"/>
  <c r="B73" i="8"/>
  <c r="B74" i="8" s="1"/>
  <c r="B57" i="8"/>
  <c r="L17" i="7"/>
  <c r="B73" i="7"/>
  <c r="B67" i="7"/>
  <c r="B62" i="7"/>
  <c r="B70" i="7" s="1"/>
  <c r="B78" i="7" s="1"/>
  <c r="G59" i="7"/>
  <c r="B46" i="7"/>
  <c r="B42" i="7"/>
  <c r="G38" i="7"/>
  <c r="B38" i="7"/>
  <c r="B37" i="7" s="1"/>
  <c r="B26" i="7"/>
  <c r="B24" i="7"/>
  <c r="N23" i="4"/>
  <c r="E38" i="4"/>
  <c r="E64" i="4"/>
  <c r="B58" i="8" l="1"/>
  <c r="B74" i="7"/>
  <c r="B57" i="7"/>
  <c r="E46" i="4"/>
  <c r="E42" i="4"/>
  <c r="E26" i="4"/>
  <c r="E24" i="4"/>
  <c r="E37" i="4"/>
  <c r="B33" i="5"/>
  <c r="B30" i="5"/>
  <c r="B27" i="5"/>
  <c r="G59" i="5"/>
  <c r="G52" i="5"/>
  <c r="G38" i="5"/>
  <c r="G25" i="5"/>
  <c r="B65" i="5"/>
  <c r="D64" i="4"/>
  <c r="D49" i="4"/>
  <c r="D48" i="4"/>
  <c r="D46" i="4"/>
  <c r="D38" i="4"/>
  <c r="D13" i="4"/>
  <c r="D24" i="4"/>
  <c r="K20" i="5"/>
  <c r="B58" i="7" l="1"/>
  <c r="D26" i="4"/>
  <c r="D42" i="4"/>
  <c r="D37" i="4"/>
  <c r="D57" i="4" l="1"/>
  <c r="D58" i="4" s="1"/>
  <c r="B73" i="5" l="1"/>
  <c r="B67" i="5"/>
  <c r="B62" i="5"/>
  <c r="B70" i="5" s="1"/>
  <c r="B78" i="5" s="1"/>
  <c r="B46" i="5"/>
  <c r="B42" i="5"/>
  <c r="B38" i="5"/>
  <c r="B37" i="5" s="1"/>
  <c r="B26" i="5"/>
  <c r="B24" i="5"/>
  <c r="B24" i="3"/>
  <c r="B42" i="3"/>
  <c r="B67" i="3"/>
  <c r="B74" i="5" l="1"/>
  <c r="B57" i="5"/>
  <c r="B58" i="5" s="1"/>
  <c r="B26" i="3"/>
  <c r="C66" i="4" l="1"/>
  <c r="C65" i="4"/>
  <c r="C64" i="4"/>
  <c r="C56" i="4"/>
  <c r="C55" i="4"/>
  <c r="C54" i="4"/>
  <c r="C53" i="4"/>
  <c r="C52" i="4"/>
  <c r="C51" i="4"/>
  <c r="C50" i="4"/>
  <c r="C47" i="4"/>
  <c r="C45" i="4"/>
  <c r="C43" i="4"/>
  <c r="C41" i="4"/>
  <c r="C39" i="4"/>
  <c r="C36" i="4"/>
  <c r="C35" i="4"/>
  <c r="C34" i="4"/>
  <c r="C33" i="4"/>
  <c r="C32" i="4"/>
  <c r="C31" i="4"/>
  <c r="C30" i="4"/>
  <c r="C29" i="4"/>
  <c r="C28" i="4"/>
  <c r="C27" i="4"/>
  <c r="C22" i="4"/>
  <c r="C16" i="4"/>
  <c r="C13" i="4"/>
  <c r="C10" i="4"/>
  <c r="C24" i="4" l="1"/>
  <c r="B47" i="4" l="1"/>
  <c r="N47" i="4" s="1"/>
  <c r="N46" i="4" s="1"/>
  <c r="B66" i="4"/>
  <c r="B65" i="4"/>
  <c r="B64" i="4"/>
  <c r="B56" i="4"/>
  <c r="N56" i="4" s="1"/>
  <c r="B55" i="4"/>
  <c r="N55" i="4" s="1"/>
  <c r="B54" i="4"/>
  <c r="N54" i="4" s="1"/>
  <c r="B53" i="4"/>
  <c r="N53" i="4" s="1"/>
  <c r="B52" i="4"/>
  <c r="N52" i="4" s="1"/>
  <c r="B51" i="4"/>
  <c r="B50" i="4"/>
  <c r="B45" i="4"/>
  <c r="B43" i="4"/>
  <c r="B41" i="4"/>
  <c r="B39" i="4"/>
  <c r="N38" i="4" s="1"/>
  <c r="B36" i="4"/>
  <c r="N36" i="4" s="1"/>
  <c r="B35" i="4"/>
  <c r="N35" i="4" s="1"/>
  <c r="B34" i="4"/>
  <c r="B33" i="4"/>
  <c r="B32" i="4"/>
  <c r="B31" i="4"/>
  <c r="B30" i="4"/>
  <c r="B29" i="4"/>
  <c r="B28" i="4"/>
  <c r="B27" i="4"/>
  <c r="B22" i="4"/>
  <c r="N22" i="4" s="1"/>
  <c r="B16" i="4"/>
  <c r="B13" i="4"/>
  <c r="N13" i="4" s="1"/>
  <c r="B10" i="4"/>
  <c r="M74" i="4"/>
  <c r="L74" i="4"/>
  <c r="K74" i="4"/>
  <c r="J74" i="4"/>
  <c r="I74" i="4"/>
  <c r="H74" i="4"/>
  <c r="G74" i="4"/>
  <c r="F74" i="4"/>
  <c r="E74" i="4"/>
  <c r="D74" i="4"/>
  <c r="D67" i="4"/>
  <c r="C67" i="4"/>
  <c r="M70" i="4"/>
  <c r="L70" i="4"/>
  <c r="K70" i="4"/>
  <c r="J70" i="4"/>
  <c r="I70" i="4"/>
  <c r="H62" i="4"/>
  <c r="H70" i="4" s="1"/>
  <c r="G62" i="4"/>
  <c r="G70" i="4" s="1"/>
  <c r="F62" i="4"/>
  <c r="F70" i="4" s="1"/>
  <c r="E62" i="4"/>
  <c r="E70" i="4" s="1"/>
  <c r="D62" i="4"/>
  <c r="D70" i="4" s="1"/>
  <c r="C62" i="4"/>
  <c r="C70" i="4" s="1"/>
  <c r="B62" i="4"/>
  <c r="B70" i="4" s="1"/>
  <c r="C46" i="4"/>
  <c r="C42" i="4"/>
  <c r="C38" i="4"/>
  <c r="C37" i="4" s="1"/>
  <c r="J57" i="4"/>
  <c r="K57" i="4"/>
  <c r="C26" i="4"/>
  <c r="N24" i="4" l="1"/>
  <c r="N42" i="4"/>
  <c r="N37" i="4"/>
  <c r="N26" i="4"/>
  <c r="J67" i="4"/>
  <c r="I67" i="4"/>
  <c r="L67" i="4"/>
  <c r="G67" i="4"/>
  <c r="B24" i="4"/>
  <c r="H67" i="4"/>
  <c r="B42" i="4"/>
  <c r="B26" i="4"/>
  <c r="B38" i="4"/>
  <c r="B37" i="4" s="1"/>
  <c r="F67" i="4"/>
  <c r="M67" i="4"/>
  <c r="K67" i="4"/>
  <c r="E67" i="4"/>
  <c r="C57" i="4"/>
  <c r="B46" i="4"/>
  <c r="B67" i="4"/>
  <c r="F57" i="4"/>
  <c r="F58" i="4" s="1"/>
  <c r="M57" i="4"/>
  <c r="E57" i="4"/>
  <c r="L57" i="4"/>
  <c r="L58" i="4" s="1"/>
  <c r="J58" i="4"/>
  <c r="K58" i="4"/>
  <c r="I57" i="4"/>
  <c r="I58" i="4" s="1"/>
  <c r="B57" i="4" l="1"/>
  <c r="B58" i="4" s="1"/>
  <c r="E58" i="4"/>
  <c r="C58" i="4"/>
  <c r="N57" i="4"/>
  <c r="N58" i="4" s="1"/>
  <c r="M58" i="4"/>
  <c r="B73" i="3" l="1"/>
  <c r="C73" i="4" s="1"/>
  <c r="C74" i="4" s="1"/>
  <c r="B62" i="3"/>
  <c r="B70" i="3" s="1"/>
  <c r="B78" i="3" s="1"/>
  <c r="B46" i="3"/>
  <c r="G38" i="3"/>
  <c r="B38" i="3"/>
  <c r="B37" i="3" s="1"/>
  <c r="B57" i="3" s="1"/>
  <c r="B58" i="3" s="1"/>
  <c r="B74" i="3" l="1"/>
  <c r="B73" i="2"/>
  <c r="B73" i="4" s="1"/>
  <c r="B74" i="4" s="1"/>
  <c r="B8" i="4" l="1"/>
  <c r="B59" i="4" s="1"/>
  <c r="B26" i="2" l="1"/>
  <c r="B24" i="2"/>
  <c r="B46" i="2" l="1"/>
  <c r="B38" i="2"/>
  <c r="B42" i="2" l="1"/>
  <c r="B37" i="2" l="1"/>
  <c r="B57" i="2" s="1"/>
  <c r="B59" i="2" s="1"/>
  <c r="B8" i="3" s="1"/>
  <c r="C8" i="4" l="1"/>
  <c r="C59" i="4" s="1"/>
  <c r="B59" i="3"/>
  <c r="B8" i="5" s="1"/>
  <c r="B58" i="2"/>
  <c r="D8" i="4" l="1"/>
  <c r="D59" i="4" s="1"/>
  <c r="B59" i="5"/>
  <c r="B8" i="7" s="1"/>
  <c r="B67" i="2"/>
  <c r="B74" i="2"/>
  <c r="B62" i="2"/>
  <c r="B70" i="2" s="1"/>
  <c r="B78" i="2" s="1"/>
  <c r="E8" i="4" l="1"/>
  <c r="E59" i="4" s="1"/>
  <c r="B59" i="7"/>
  <c r="B8" i="8" s="1"/>
  <c r="B59" i="8" l="1"/>
  <c r="B8" i="9" s="1"/>
  <c r="F8" i="4"/>
  <c r="F59" i="4" s="1"/>
  <c r="G8" i="4" l="1"/>
  <c r="G59" i="4" s="1"/>
  <c r="B59" i="9"/>
  <c r="B8" i="10" s="1"/>
  <c r="H8" i="4" l="1"/>
  <c r="H59" i="4" s="1"/>
  <c r="B59" i="10"/>
  <c r="B8" i="11" s="1"/>
  <c r="I8" i="4" l="1"/>
  <c r="I59" i="4" s="1"/>
  <c r="B59" i="11"/>
  <c r="B8" i="12" s="1"/>
  <c r="J8" i="4" l="1"/>
  <c r="J59" i="4" s="1"/>
  <c r="B59" i="12"/>
  <c r="B8" i="13" s="1"/>
  <c r="K8" i="4" l="1"/>
  <c r="K59" i="4" s="1"/>
  <c r="B59" i="13"/>
  <c r="B8" i="14" s="1"/>
  <c r="L8" i="4" l="1"/>
  <c r="L59" i="4" s="1"/>
  <c r="B59" i="14"/>
  <c r="B8" i="15" s="1"/>
  <c r="M8" i="4" l="1"/>
  <c r="M59" i="4" s="1"/>
  <c r="B59" i="15"/>
</calcChain>
</file>

<file path=xl/sharedStrings.xml><?xml version="1.0" encoding="utf-8"?>
<sst xmlns="http://schemas.openxmlformats.org/spreadsheetml/2006/main" count="1612" uniqueCount="227">
  <si>
    <t>Relatório - Demonstrativo do Fluxo de Caixa</t>
  </si>
  <si>
    <t> 616 - Fluxo de Caixa </t>
  </si>
  <si>
    <t>Janeiro</t>
  </si>
  <si>
    <t>Valor</t>
  </si>
  <si>
    <t>Saldo do Mês Anterior</t>
  </si>
  <si>
    <t>RECEITAS</t>
  </si>
  <si>
    <t>Repasse Contrato de Gestão/Convênio/ Termos de Aditamento</t>
  </si>
  <si>
    <t>Receitas Financeiras</t>
  </si>
  <si>
    <t>Doações - Recursos Financeiros</t>
  </si>
  <si>
    <t>Total de Receitas</t>
  </si>
  <si>
    <t>DESPESAS</t>
  </si>
  <si>
    <t>Pessoal (CLT)</t>
  </si>
  <si>
    <t>Ordenados</t>
  </si>
  <si>
    <t>Benefícios</t>
  </si>
  <si>
    <t>Horas Extras</t>
  </si>
  <si>
    <t>Encargos Sociais</t>
  </si>
  <si>
    <t>Rescisões com Encargos</t>
  </si>
  <si>
    <t>13º</t>
  </si>
  <si>
    <t>Férias</t>
  </si>
  <si>
    <t>Outras Despesas com Pessoal</t>
  </si>
  <si>
    <t>Serviços Terceirizados</t>
  </si>
  <si>
    <t>Assistenciais</t>
  </si>
  <si>
    <t>Pessoa Jurídica</t>
  </si>
  <si>
    <t>Pessoa Física</t>
  </si>
  <si>
    <t>Administrativos</t>
  </si>
  <si>
    <t>Materiais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</si>
  <si>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</si>
  <si>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</si>
  <si>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</si>
  <si>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</si>
  <si>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</si>
  <si>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</si>
  <si>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</si>
  <si>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</si>
  <si>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</si>
  <si>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Financeiras</t>
  </si>
  <si>
    <t>Manutenção Predial</t>
  </si>
  <si>
    <t>Investimentos</t>
  </si>
  <si>
    <t>Ressarcimento por Rateio</t>
  </si>
  <si>
    <t>Outras Despesas</t>
  </si>
  <si>
    <t>Total de Despesas</t>
  </si>
  <si>
    <t>Saldo do mês (Receitas - Despesas)</t>
  </si>
  <si>
    <t>SALDO FINAL (Saldo Anterior + Receitas - Despesas)</t>
  </si>
  <si>
    <t> 617 - Saldo Bancário </t>
  </si>
  <si>
    <t>Conta Corrente</t>
  </si>
  <si>
    <t>Aplicações</t>
  </si>
  <si>
    <t>Espécie / Caixa Pequeno</t>
  </si>
  <si>
    <t>TOTAL</t>
  </si>
  <si>
    <t> 618 - Composição de Saldo </t>
  </si>
  <si>
    <t>Investimento</t>
  </si>
  <si>
    <t>Custeio</t>
  </si>
  <si>
    <t> 371 - Observação </t>
  </si>
  <si>
    <t>Mês</t>
  </si>
  <si>
    <t>Descrição</t>
  </si>
  <si>
    <t>Seq</t>
  </si>
  <si>
    <t>JAN</t>
  </si>
  <si>
    <t>Total Geral</t>
  </si>
  <si>
    <t xml:space="preserve">4 0 2 - INSS FERIAS    </t>
  </si>
  <si>
    <t xml:space="preserve">4 1 2 -  IR FERIAS    </t>
  </si>
  <si>
    <t xml:space="preserve">4 1 4 - IR 13o SALARI </t>
  </si>
  <si>
    <t xml:space="preserve">4 0 3 -  INSS13oSALAR     </t>
  </si>
  <si>
    <t>029 - DSR H EXTRA</t>
  </si>
  <si>
    <t>080 - H EXTRA 50%</t>
  </si>
  <si>
    <t>081 - H EXTRA 60%</t>
  </si>
  <si>
    <t>082 - H EXTRA 100%</t>
  </si>
  <si>
    <t>088 - H EXTRA 80%</t>
  </si>
  <si>
    <t>143 - H EXTRA 100% - M</t>
  </si>
  <si>
    <t>158 - HORA EXTRA FER</t>
  </si>
  <si>
    <t>161 - HS EXTRAS 90%</t>
  </si>
  <si>
    <t>162 - HS EXT 90% - M A</t>
  </si>
  <si>
    <t>Saldo Mês</t>
  </si>
  <si>
    <t>Saldo Final</t>
  </si>
  <si>
    <t>RECEITA FINANCEIRA</t>
  </si>
  <si>
    <t>ORDENADOS</t>
  </si>
  <si>
    <t>BENEFÍCIOS</t>
  </si>
  <si>
    <t>ENCARGOS SOCIAIS</t>
  </si>
  <si>
    <t>13º SALÁRIO</t>
  </si>
  <si>
    <t>FÉRIAS</t>
  </si>
  <si>
    <t>PESSOA JURÍDICA</t>
  </si>
  <si>
    <t>ADMINISTRATIVOS</t>
  </si>
  <si>
    <t>MATERIAIS E MEDICAMENTOS</t>
  </si>
  <si>
    <t>MATERIAIS DE CONSUMO</t>
  </si>
  <si>
    <t>UTILIDADE PÚBLICA</t>
  </si>
  <si>
    <t>TRIBUTÁRIAS</t>
  </si>
  <si>
    <t>FINANCEIRAS</t>
  </si>
  <si>
    <t>OUTRAS DESPESAS</t>
  </si>
  <si>
    <t>RESCISÕES</t>
  </si>
  <si>
    <t>AÇÕES JUDICIAIS - AÇÕES TRABALHISTAS</t>
  </si>
  <si>
    <t>Repasse Termo Aditamento - Custeio</t>
  </si>
  <si>
    <t>Repasse Termo Aditamento - Investimento</t>
  </si>
  <si>
    <t>Repasse - Complemento Piso Enfermagem</t>
  </si>
  <si>
    <t>SUS / AIH</t>
  </si>
  <si>
    <t>SUS / Ambulatório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</si>
  <si>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</si>
  <si>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</si>
  <si>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</si>
  <si>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</si>
  <si>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</si>
  <si>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</si>
  <si>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Ordenados - Complemento Piso Enfermagem</t>
  </si>
  <si>
    <t>Ressarcimento - Complemento Piso Enfermagem</t>
  </si>
  <si>
    <t>Balancete</t>
  </si>
  <si>
    <t>Extratos</t>
  </si>
  <si>
    <t>Saldo Conta Corrente</t>
  </si>
  <si>
    <t>Saldo Conta Aplicação</t>
  </si>
  <si>
    <t>Saldo Conta Aplicação CDB</t>
  </si>
  <si>
    <t>Caixinha</t>
  </si>
  <si>
    <t>Atual</t>
  </si>
  <si>
    <t>141 - H EXTRA 60% - MA</t>
  </si>
  <si>
    <t>142 - H EXTRA 80% - MA</t>
  </si>
  <si>
    <t>177 - H EXT FER M A N</t>
  </si>
  <si>
    <t>A11 - COMP.RETRO.PIS</t>
  </si>
  <si>
    <t>A12 - COMP.PISO ENFE</t>
  </si>
  <si>
    <t>Saldo Conta Corrente Nova</t>
  </si>
  <si>
    <t>Saldo Conta Aplicação Nova</t>
  </si>
  <si>
    <t>A13 - COMP.PISO ENFE</t>
  </si>
  <si>
    <t>Saldo Acumulado 2025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</si>
  <si>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</si>
  <si>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</si>
  <si>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</si>
  <si>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</si>
  <si>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</si>
  <si>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</si>
  <si>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</si>
  <si>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</si>
  <si>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</si>
  <si>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</si>
  <si>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</si>
  <si>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</si>
  <si>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FEV</t>
  </si>
  <si>
    <t>RECEITA</t>
  </si>
  <si>
    <t>CAC Guarulhos - Período: 03/2025</t>
  </si>
  <si>
    <t>PISO ENFERMAGEM FOLHA 02/2025</t>
  </si>
  <si>
    <t>EVENTOS FOLHA 02/2025</t>
  </si>
  <si>
    <t xml:space="preserve">       359.386,15 D</t>
  </si>
  <si>
    <t>1.476.801,12 D</t>
  </si>
  <si>
    <t xml:space="preserve">  7.485.174,27 D</t>
  </si>
  <si>
    <t>MAR</t>
  </si>
  <si>
    <t>CAC Guarulhos - Período: 04/2025</t>
  </si>
  <si>
    <t>ABR</t>
  </si>
  <si>
    <t>EVENTOS FOLHA 03/2025</t>
  </si>
  <si>
    <t>PISO ENFERMAGEM FOLHA 03/2025</t>
  </si>
  <si>
    <t xml:space="preserve">        1.119.652,67 D</t>
  </si>
  <si>
    <t xml:space="preserve">        8.604.826,94 D</t>
  </si>
  <si>
    <t xml:space="preserve">        2.596.453,79 D</t>
  </si>
  <si>
    <t>Saldo Conta Aplicação Nova CDB</t>
  </si>
  <si>
    <t>Outras Despesas: Despesas Movimento Fundo Fixo R$ 938,40; Desp com Aluguéis R$ 13.995,08; Desp com Lubrificantes R$ 248,87 e NTO R$ 1.038.921,43.</t>
  </si>
  <si>
    <t>ESTORNOS / REEMBOLSOS DE DESPESAS</t>
  </si>
  <si>
    <t>Outras Despesas: Despesas Movimento Fundo Fixo R$ 793,05; Desp com Aluguéis R$ 13.995,08; Desp com Lubrificantes R$ 115,32 e NTO R$ 937.806,40.</t>
  </si>
  <si>
    <t>Data: 05/02/2024 16:28</t>
  </si>
  <si>
    <t>CAC Guarulhos - Período: 05/2025</t>
  </si>
  <si>
    <t>153.765,60 D</t>
  </si>
  <si>
    <t>2.750.219,39 D</t>
  </si>
  <si>
    <t xml:space="preserve"> 8.758.592,54 D</t>
  </si>
  <si>
    <t>EVENTOS FOLHA 04/2025</t>
  </si>
  <si>
    <t>PISO ENFERMAGEM FOLHA 04/2025</t>
  </si>
  <si>
    <t>MAI</t>
  </si>
  <si>
    <t>Outras Despesas: Despesas Movimento Fundo Fixo R$ 912,39; Desp com Aluguéis R$ 13.995,08; Desp com Lubrificantes R$ 100,44 e NTO R$ 1.588.615,32.</t>
  </si>
  <si>
    <t>CAC Guarulhos - Período: 06/2025</t>
  </si>
  <si>
    <t>JUN</t>
  </si>
  <si>
    <t>EVENTOS FOLHA 05/2025</t>
  </si>
  <si>
    <t>PISO ENFERMAGEM FOLHA 05/2025</t>
  </si>
  <si>
    <t xml:space="preserve">          935.858,52 D</t>
  </si>
  <si>
    <t xml:space="preserve">  3.686.077,91 D</t>
  </si>
  <si>
    <t xml:space="preserve">        9.694.451,06 D</t>
  </si>
  <si>
    <t xml:space="preserve">VERBA DE ENFERMAGEM DISPONÍVEL R$ 1.863,27 </t>
  </si>
  <si>
    <t>Outras Despesas: Despesas Movimento Fundo Fixo R$ 155,95; Desp com Aluguéis R$ 14.020,54; Desp com Lubrificantes R$ 83,70 e NTO R$ 1.065.145,18.</t>
  </si>
  <si>
    <t>CAC Guarulhos - Período: 07/2025</t>
  </si>
  <si>
    <t>EVENTOS FOLHA 06/2025</t>
  </si>
  <si>
    <t xml:space="preserve">     121.939,20 C</t>
  </si>
  <si>
    <t xml:space="preserve">  3.564.138,71 D</t>
  </si>
  <si>
    <t>9.572.511,86 D</t>
  </si>
  <si>
    <t>JUL</t>
  </si>
  <si>
    <t>Outras Receitas: Estornos / Reembolso de Desp de Fornecedor R$ 4.207,50. Outras Despesas: Despesas Movimento Fundo Fixo R$ 463,30; Desp com Aluguéis R$ 13.995,08; Desp com Lubrificantes R$ 192,24 e NTO R$ 1.251.570,14.</t>
  </si>
  <si>
    <t>CAC Guarulhos - Período: 08/2025</t>
  </si>
  <si>
    <t>EVENTOS FOLHA 07/2025</t>
  </si>
  <si>
    <t>770.519,45 D</t>
  </si>
  <si>
    <t xml:space="preserve">        4.334.658,16 D</t>
  </si>
  <si>
    <t xml:space="preserve">       10.343.031,31 D</t>
  </si>
  <si>
    <t>AGO</t>
  </si>
  <si>
    <t>Outras Despesas: Despesas Movimento Fundo Fixo R$ 566,18; Desp com Aluguéis R$ 26.995,08; Desp com Lubrificantes R$ 74,62 e NTO R$ 1.353.640,48.</t>
  </si>
  <si>
    <t>CAC Guarulhos - Período: 09/2025</t>
  </si>
  <si>
    <t>SET</t>
  </si>
  <si>
    <t xml:space="preserve">        1.143.812,99 D</t>
  </si>
  <si>
    <t xml:space="preserve">        5.478.471,15 D</t>
  </si>
  <si>
    <t xml:space="preserve">       11.486.844,30 D</t>
  </si>
  <si>
    <t>EVENTOS FOLHA 08/2025</t>
  </si>
  <si>
    <t>Outras Despesas: Despesas Movimento Fundo Fixo R$ 627,49; Desp com Aluguéis R$ 14.295,54; e NTO R$ 1.297.336,56.</t>
  </si>
  <si>
    <t>CAC Guarulhos - Período: 10/2025</t>
  </si>
  <si>
    <t>OUT</t>
  </si>
  <si>
    <t>572.241,89 D</t>
  </si>
  <si>
    <t xml:space="preserve">      6.050.713,04 D</t>
  </si>
  <si>
    <t>12.059.086,19 D</t>
  </si>
  <si>
    <t>EVENTOS FOLHA 09/2025</t>
  </si>
  <si>
    <t>Outras Despesas: Despesas Movimento Fundo Fixo R$ 188,55; Desp com Lubrificantes R$ 61,40; Desp Deslocamento R$ 1.595,36; Desp Com Viagem R$ 800,00; Desp com Aluguéis R$ 14.409,54 e NTO R$ 1.416.186,00.</t>
  </si>
  <si>
    <t>CAC Guarulhos - Período: 11/2025</t>
  </si>
  <si>
    <t>NOV</t>
  </si>
  <si>
    <t xml:space="preserve">        2.985.559,85 C</t>
  </si>
  <si>
    <t xml:space="preserve">        3.065.153,19 D</t>
  </si>
  <si>
    <t xml:space="preserve">        9.073.526,34 D</t>
  </si>
  <si>
    <t>EVENTOS FOLHA 10/2025</t>
  </si>
  <si>
    <t>-</t>
  </si>
  <si>
    <t>Outras Receitas: Estornos / Reembolso de Desp de Fornecedor R$ 5.494,22. Outras Despesas: Despesas Movimento Fundo Fixo R$ 775,27; Desp com Aluguéis R$ 14.409,52 e NTO R$ 1.362.778,99.</t>
  </si>
  <si>
    <t>CAC Guarulhos - Período: 12/2025</t>
  </si>
  <si>
    <t>DEZ</t>
  </si>
  <si>
    <t>EVENTOS FOLHA 11/2025</t>
  </si>
  <si>
    <t xml:space="preserve">        1.119.315,87 D</t>
  </si>
  <si>
    <t xml:space="preserve">        4.184.469,06 D</t>
  </si>
  <si>
    <t xml:space="preserve">       10.192.842,21 D</t>
  </si>
  <si>
    <t>Outras Receitas: Estornos / Reembolso de Desp de Fornecedor R$ 285,94. Outras Despesas: Despesas Movimento Fundo Fixo R$ 50,00; Desp com Aluguéis R$ 27.409,52;  Desp Deslocamento R$ 16,20; Desp com Lubrificantes R$ 309,44 e NTO R$ 1.298.771,80.</t>
  </si>
  <si>
    <r>
      <rPr>
        <b/>
        <sz val="8"/>
        <color rgb="FF000000"/>
        <rFont val="Calibri Light"/>
        <family val="2"/>
        <scheme val="major"/>
      </rPr>
      <t>CAC Guarulhos</t>
    </r>
    <r>
      <rPr>
        <sz val="8"/>
        <color rgb="FF000000"/>
        <rFont val="Calibri Light"/>
        <family val="2"/>
        <scheme val="major"/>
      </rPr>
      <t xml:space="preserve"> - Período: 01/2026</t>
    </r>
  </si>
  <si>
    <t>PISO ENFERMAGEM FOLHA 12/2025</t>
  </si>
  <si>
    <t>EVENTOS FOLHA 12/2025</t>
  </si>
  <si>
    <t xml:space="preserve">          725.945,70 D</t>
  </si>
  <si>
    <t xml:space="preserve">       10.918.787,91 D</t>
  </si>
  <si>
    <t>OUTRAS RECEITAS</t>
  </si>
  <si>
    <t>Outras Receitas: Saldo  do Caixinha-Encerramento Caixinha R$ 398,30. Outras Despesas: Despesas Movimento Fundo Fixo R$ 551,70 e Transferência Encerramento Caixinha R$ 398,30; Desp com Aluguéis R$ 14.420,14;  e NTO R$ 1.365.955,18.</t>
  </si>
  <si>
    <t>CAC Guarulhos - Período: 2026</t>
  </si>
  <si>
    <t>CAC Guarulhos - Período: 02/2026</t>
  </si>
  <si>
    <t xml:space="preserve">          333.373,52 D</t>
  </si>
  <si>
    <t>Saldo Acumulado 2026</t>
  </si>
  <si>
    <t xml:space="preserve">        1.059.319,22 D</t>
  </si>
  <si>
    <t xml:space="preserve">       11.252.161,43 D</t>
  </si>
  <si>
    <t>EVENTOS FOLHA 01/2026</t>
  </si>
  <si>
    <t>PISO ENFERMAGEM FOLHA 01/2026</t>
  </si>
  <si>
    <t>OUTRAS DESPESAS - CARTÃO FLASH</t>
  </si>
  <si>
    <t>Outras Despesas Saldo para Cartão Flash R$ 1.000,00; Desp com Aluguéis R$ 14.448,20; Desp Combustível R$ 32,24 e NTO R$ 1.519.729,55.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</si>
</sst>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Calibri Light"/>
      <family val="2"/>
      <scheme val="major"/>
    </font>
    <font>
      <b/>
      <sz val="8"/>
      <color rgb="FF696969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 Light"/>
      <family val="2"/>
      <scheme val="major"/>
    </font>
    <font>
      <sz val="10"/>
      <name val="Calibri"/>
      <family val="2"/>
      <scheme val="minor"/>
    </font>
    <font>
      <sz val="8"/>
      <color theme="1"/>
      <name val="Calibri"/>
      <family val="2"/>
    </font>
    <font>
      <b/>
      <sz val="8"/>
      <color rgb="FF000000"/>
      <name val="Calibri Light"/>
      <family val="2"/>
      <scheme val="major"/>
    </font>
    <font>
      <sz val="8"/>
      <color theme="1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rgb="FFFFFFFF"/>
      </left>
      <right/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0">
    <xf numFmtId="0" fontId="0" fillId="0" borderId="0" xfId="0"/>
    <xf numFmtId="0" fontId="19" fillId="0" borderId="10" xfId="0" applyFont="1" applyBorder="1"/>
    <xf numFmtId="0" fontId="20" fillId="0" borderId="0" xfId="0" applyFont="1"/>
    <xf numFmtId="0" fontId="20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wrapText="1"/>
    </xf>
    <xf numFmtId="0" fontId="21" fillId="0" borderId="11" xfId="0" applyFont="1" applyBorder="1" applyAlignment="1">
      <alignment wrapText="1"/>
    </xf>
    <xf numFmtId="0" fontId="20" fillId="0" borderId="0" xfId="0" applyFont="1" applyAlignment="1">
      <alignment wrapText="1"/>
    </xf>
    <xf numFmtId="0" fontId="21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horizontal="left" wrapText="1" indent="1"/>
    </xf>
    <xf numFmtId="0" fontId="20" fillId="0" borderId="11" xfId="0" applyFont="1" applyBorder="1" applyAlignment="1">
      <alignment horizontal="left" wrapText="1"/>
    </xf>
    <xf numFmtId="43" fontId="20" fillId="0" borderId="11" xfId="1" applyFont="1" applyBorder="1" applyAlignment="1">
      <alignment horizontal="right" wrapText="1"/>
    </xf>
    <xf numFmtId="43" fontId="21" fillId="0" borderId="11" xfId="1" applyFont="1" applyBorder="1" applyAlignment="1">
      <alignment horizontal="right" wrapText="1"/>
    </xf>
    <xf numFmtId="0" fontId="22" fillId="0" borderId="0" xfId="0" applyFont="1"/>
    <xf numFmtId="43" fontId="22" fillId="0" borderId="0" xfId="1" applyFont="1"/>
    <xf numFmtId="43" fontId="20" fillId="0" borderId="11" xfId="1" applyFont="1" applyBorder="1" applyAlignment="1">
      <alignment horizontal="center" wrapText="1"/>
    </xf>
    <xf numFmtId="0" fontId="22" fillId="0" borderId="0" xfId="0" applyFont="1" applyAlignment="1">
      <alignment vertical="justify" wrapText="1"/>
    </xf>
    <xf numFmtId="43" fontId="22" fillId="0" borderId="0" xfId="0" applyNumberFormat="1" applyFont="1"/>
    <xf numFmtId="43" fontId="20" fillId="0" borderId="0" xfId="0" applyNumberFormat="1" applyFont="1"/>
    <xf numFmtId="43" fontId="23" fillId="33" borderId="15" xfId="1" applyFont="1" applyFill="1" applyBorder="1"/>
    <xf numFmtId="43" fontId="23" fillId="33" borderId="16" xfId="1" applyFont="1" applyFill="1" applyBorder="1" applyAlignment="1">
      <alignment horizontal="left"/>
    </xf>
    <xf numFmtId="43" fontId="23" fillId="33" borderId="16" xfId="1" applyFont="1" applyFill="1" applyBorder="1"/>
    <xf numFmtId="43" fontId="23" fillId="33" borderId="15" xfId="1" applyFont="1" applyFill="1" applyBorder="1" applyAlignment="1">
      <alignment horizontal="center"/>
    </xf>
    <xf numFmtId="43" fontId="20" fillId="0" borderId="0" xfId="1" applyFont="1"/>
    <xf numFmtId="0" fontId="22" fillId="0" borderId="0" xfId="0" applyFont="1" applyAlignment="1">
      <alignment horizontal="left"/>
    </xf>
    <xf numFmtId="43" fontId="22" fillId="0" borderId="0" xfId="1" applyFont="1" applyFill="1"/>
    <xf numFmtId="43" fontId="25" fillId="0" borderId="0" xfId="1" applyFont="1" applyAlignment="1">
      <alignment horizontal="right"/>
    </xf>
    <xf numFmtId="43" fontId="23" fillId="33" borderId="15" xfId="1" applyFont="1" applyFill="1" applyBorder="1" applyAlignment="1">
      <alignment horizontal="right"/>
    </xf>
    <xf numFmtId="0" fontId="22" fillId="0" borderId="0" xfId="0" applyFont="1" applyAlignment="1">
      <alignment horizontal="justify" vertical="justify" wrapText="1"/>
    </xf>
    <xf numFmtId="0" fontId="22" fillId="0" borderId="0" xfId="0" applyFont="1" applyAlignment="1">
      <alignment horizontal="center"/>
    </xf>
    <xf numFmtId="43" fontId="26" fillId="0" borderId="0" xfId="1" applyFont="1" applyFill="1"/>
    <xf numFmtId="0" fontId="24" fillId="0" borderId="0" xfId="0" applyFont="1" applyAlignment="1">
      <alignment horizontal="left"/>
    </xf>
    <xf numFmtId="43" fontId="23" fillId="0" borderId="0" xfId="1" applyFont="1" applyFill="1" applyBorder="1" applyAlignment="1">
      <alignment horizontal="center"/>
    </xf>
    <xf numFmtId="43" fontId="23" fillId="0" borderId="0" xfId="1" applyFont="1" applyFill="1" applyBorder="1"/>
    <xf numFmtId="43" fontId="22" fillId="0" borderId="0" xfId="1" applyFont="1" applyFill="1" applyBorder="1"/>
    <xf numFmtId="43" fontId="20" fillId="0" borderId="0" xfId="1" applyFont="1" applyFill="1" applyBorder="1"/>
    <xf numFmtId="0" fontId="20" fillId="0" borderId="0" xfId="0" applyFont="1" applyAlignment="1">
      <alignment vertical="justify" wrapText="1"/>
    </xf>
    <xf numFmtId="0" fontId="27" fillId="0" borderId="0" xfId="0" applyFont="1"/>
    <xf numFmtId="43" fontId="23" fillId="0" borderId="0" xfId="1" applyFont="1" applyFill="1"/>
    <xf numFmtId="43" fontId="23" fillId="0" borderId="0" xfId="0" applyNumberFormat="1" applyFont="1"/>
    <xf numFmtId="43" fontId="21" fillId="0" borderId="0" xfId="0" applyNumberFormat="1" applyFont="1"/>
    <xf numFmtId="43" fontId="22" fillId="0" borderId="0" xfId="1" applyFont="1" applyFill="1" applyAlignment="1"/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43" fontId="22" fillId="0" borderId="0" xfId="1" applyFont="1" applyAlignment="1">
      <alignment horizontal="left"/>
    </xf>
    <xf numFmtId="164" fontId="27" fillId="0" borderId="0" xfId="1" applyNumberFormat="1" applyFont="1"/>
    <xf numFmtId="43" fontId="20" fillId="0" borderId="0" xfId="1" applyFont="1" applyFill="1"/>
    <xf numFmtId="43" fontId="27" fillId="0" borderId="0" xfId="1" applyFont="1" applyFill="1"/>
    <xf numFmtId="43" fontId="23" fillId="0" borderId="0" xfId="1" applyFont="1" applyFill="1" applyAlignment="1">
      <alignment horizontal="center"/>
    </xf>
    <xf numFmtId="43" fontId="21" fillId="0" borderId="0" xfId="1" applyFont="1"/>
    <xf numFmtId="43" fontId="20" fillId="0" borderId="0" xfId="0" applyNumberFormat="1" applyFont="1" applyAlignment="1">
      <alignment vertical="justify" wrapText="1"/>
    </xf>
    <xf numFmtId="0" fontId="20" fillId="0" borderId="0" xfId="0" applyFont="1" applyAlignment="1">
      <alignment horizontal="justify" vertical="justify" wrapText="1"/>
    </xf>
    <xf numFmtId="0" fontId="23" fillId="0" borderId="0" xfId="0" applyFont="1" applyAlignment="1">
      <alignment horizontal="center"/>
    </xf>
    <xf numFmtId="43" fontId="23" fillId="33" borderId="0" xfId="1" applyFont="1" applyFill="1" applyBorder="1" applyAlignment="1">
      <alignment horizontal="center"/>
    </xf>
    <xf numFmtId="43" fontId="23" fillId="33" borderId="0" xfId="1" applyFont="1" applyFill="1" applyBorder="1"/>
    <xf numFmtId="164" fontId="27" fillId="0" borderId="0" xfId="1" applyNumberFormat="1" applyFont="1" applyFill="1"/>
    <xf numFmtId="0" fontId="20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43" fontId="29" fillId="0" borderId="0" xfId="0" applyNumberFormat="1" applyFont="1"/>
    <xf numFmtId="43" fontId="23" fillId="33" borderId="15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0" fillId="0" borderId="12" xfId="0" applyFont="1" applyBorder="1" applyAlignment="1">
      <alignment wrapText="1"/>
    </xf>
    <xf numFmtId="0" fontId="20" fillId="0" borderId="13" xfId="0" applyFont="1" applyBorder="1" applyAlignment="1">
      <alignment wrapText="1"/>
    </xf>
    <xf numFmtId="0" fontId="20" fillId="0" borderId="0" xfId="0" applyFont="1" applyAlignment="1">
      <alignment horizontal="justify" vertical="justify" wrapText="1"/>
    </xf>
    <xf numFmtId="0" fontId="19" fillId="0" borderId="0" xfId="0" applyFont="1" applyAlignment="1">
      <alignment wrapText="1"/>
    </xf>
    <xf numFmtId="0" fontId="20" fillId="0" borderId="14" xfId="0" applyFont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0" xfId="0" applyFont="1" applyAlignment="1">
      <alignment horizontal="center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2025%20CAC/13.Relat&#243;rios/Dem%20Fluxo%20de%20Caixa%20CAC%20Guarulhos%202025.xlsx" TargetMode="External"/><Relationship Id="rId2" Type="http://schemas.openxmlformats.org/officeDocument/2006/relationships/externalLinkPath" Target="file:///V:\Contabilidade\AreaComum\Administracao\Adriana%20Contabil\2025\2025%20CAC\13.Relat&#243;rios\Dem%20Fluxo%20de%20Caixa%20CAC%20Guarulhos%202025.xlsx" TargetMode="External"/><Relationship Id="rId1" Type="http://schemas.openxmlformats.org/officeDocument/2006/relationships/externalLinkPath" Target="/Contabilidade/AreaComum/Administracao/Adriana%20Contabil/2025/2025%20CAC/13.Relat&#243;rios/Dem%20Fluxo%20de%20Caixa%20CAC%20Guarulh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"/>
      <sheetName val="Fev"/>
      <sheetName val="Mar"/>
      <sheetName val="Abr"/>
      <sheetName val="Mai"/>
      <sheetName val="Jun"/>
      <sheetName val="Jul"/>
      <sheetName val="Agosto"/>
      <sheetName val="Setembro"/>
      <sheetName val="Outubro"/>
      <sheetName val="Novembro"/>
      <sheetName val="Dezembro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9">
          <cell r="B59">
            <v>10192842.210000008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5"/>
  <sheetViews>
    <sheetView showGridLines="0" zoomScaleNormal="100" workbookViewId="0">
      <selection activeCell="J15" sqref="J15"/>
    </sheetView>
  </sheetViews>
  <sheetFormatPr defaultRowHeight="12.95" customHeight="1" x14ac:dyDescent="0.2"/>
  <cols>
    <col min="1" max="1" width="41.5703125" style="2" bestFit="1" customWidth="1"/>
    <col min="2" max="2" width="13.7109375" style="2" bestFit="1" customWidth="1"/>
    <col min="3" max="4" width="3.28515625" style="2" bestFit="1" customWidth="1"/>
    <col min="5" max="5" width="9.85546875" style="2" customWidth="1"/>
    <col min="6" max="6" width="20" style="2" bestFit="1" customWidth="1"/>
    <col min="7" max="7" width="10.85546875" style="2" bestFit="1" customWidth="1"/>
    <col min="8" max="8" width="4.28515625" style="2" bestFit="1" customWidth="1"/>
    <col min="9" max="9" width="10.85546875" style="2" bestFit="1" customWidth="1"/>
    <col min="10" max="10" width="19.5703125" style="2" bestFit="1" customWidth="1"/>
    <col min="11" max="11" width="15.140625" style="2" bestFit="1" customWidth="1"/>
    <col min="12" max="12" width="10.85546875" style="2" bestFit="1" customWidth="1"/>
    <col min="13" max="16384" width="9.140625" style="2"/>
  </cols>
  <sheetData>
    <row r="1" spans="1:11" ht="12.95" customHeight="1" x14ac:dyDescent="0.2">
      <c r="A1" s="60" t="s">
        <v>149</v>
      </c>
      <c r="B1" s="60"/>
      <c r="C1" s="60"/>
      <c r="D1" s="60"/>
      <c r="E1" s="60"/>
    </row>
    <row r="2" spans="1:11" ht="12.95" customHeight="1" x14ac:dyDescent="0.2">
      <c r="A2" s="61" t="s">
        <v>0</v>
      </c>
      <c r="B2" s="61"/>
      <c r="C2" s="61"/>
      <c r="D2" s="61"/>
      <c r="E2" s="61"/>
    </row>
    <row r="3" spans="1:11" ht="12.95" customHeight="1" thickBot="1" x14ac:dyDescent="0.25">
      <c r="A3" s="61" t="s">
        <v>210</v>
      </c>
      <c r="B3" s="61"/>
      <c r="C3" s="61"/>
      <c r="D3" s="61"/>
      <c r="E3" s="61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2"/>
      <c r="B6" s="3" t="s">
        <v>2</v>
      </c>
      <c r="C6" s="66" t="s">
        <v>54</v>
      </c>
    </row>
    <row r="7" spans="1:11" ht="12.95" customHeight="1" thickBot="1" x14ac:dyDescent="0.25">
      <c r="A7" s="63"/>
      <c r="B7" s="3" t="s">
        <v>3</v>
      </c>
      <c r="C7" s="66"/>
    </row>
    <row r="8" spans="1:11" ht="12.95" customHeight="1" thickBot="1" x14ac:dyDescent="0.25">
      <c r="A8" s="4" t="s">
        <v>4</v>
      </c>
      <c r="B8" s="11">
        <f>[1]Dezembro!$B$59</f>
        <v>10192842.210000008</v>
      </c>
      <c r="F8" s="18" t="s">
        <v>107</v>
      </c>
      <c r="G8" s="21" t="s">
        <v>55</v>
      </c>
      <c r="H8" s="21" t="s">
        <v>54</v>
      </c>
      <c r="I8" s="31"/>
      <c r="J8" s="58" t="s">
        <v>101</v>
      </c>
      <c r="K8" s="58"/>
    </row>
    <row r="9" spans="1:11" ht="12.95" customHeight="1" thickBot="1" x14ac:dyDescent="0.25">
      <c r="A9" s="7" t="s">
        <v>5</v>
      </c>
      <c r="B9" s="14"/>
      <c r="F9" s="55" t="s">
        <v>130</v>
      </c>
      <c r="G9" s="22">
        <v>3332126.73</v>
      </c>
      <c r="H9" s="44">
        <v>1</v>
      </c>
      <c r="I9" s="33"/>
      <c r="J9" s="18" t="s">
        <v>70</v>
      </c>
      <c r="K9" s="26" t="s">
        <v>213</v>
      </c>
    </row>
    <row r="10" spans="1:11" ht="12.95" customHeight="1" thickBot="1" x14ac:dyDescent="0.25">
      <c r="A10" s="4" t="s">
        <v>6</v>
      </c>
      <c r="B10" s="10">
        <f>3332126.73</f>
        <v>3332126.73</v>
      </c>
      <c r="C10" s="2">
        <v>1</v>
      </c>
      <c r="F10" s="55" t="s">
        <v>72</v>
      </c>
      <c r="G10" s="22">
        <v>105232.98999999999</v>
      </c>
      <c r="H10" s="44">
        <v>7</v>
      </c>
      <c r="I10" s="33"/>
      <c r="J10" s="18" t="s">
        <v>116</v>
      </c>
      <c r="K10" s="26"/>
    </row>
    <row r="11" spans="1:11" ht="12.95" customHeight="1" thickBot="1" x14ac:dyDescent="0.25">
      <c r="A11" s="4" t="s">
        <v>88</v>
      </c>
      <c r="B11" s="10"/>
      <c r="C11" s="2">
        <v>2</v>
      </c>
      <c r="F11" s="55" t="s">
        <v>215</v>
      </c>
      <c r="G11" s="22">
        <v>398.3</v>
      </c>
      <c r="H11" s="44">
        <v>14</v>
      </c>
      <c r="I11" s="33"/>
      <c r="J11" s="18" t="s">
        <v>71</v>
      </c>
      <c r="K11" s="26" t="s">
        <v>214</v>
      </c>
    </row>
    <row r="12" spans="1:11" ht="12.95" customHeight="1" thickBot="1" x14ac:dyDescent="0.25">
      <c r="A12" s="4" t="s">
        <v>89</v>
      </c>
      <c r="B12" s="10"/>
      <c r="C12" s="2">
        <v>3</v>
      </c>
      <c r="F12" s="55" t="s">
        <v>73</v>
      </c>
      <c r="G12" s="22">
        <v>-377317.15</v>
      </c>
      <c r="H12" s="44">
        <v>15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55" t="s">
        <v>74</v>
      </c>
      <c r="G13" s="22">
        <v>-107863.08</v>
      </c>
      <c r="H13" s="44">
        <v>16</v>
      </c>
      <c r="I13" s="33"/>
      <c r="J13" s="58" t="s">
        <v>102</v>
      </c>
      <c r="K13" s="58"/>
    </row>
    <row r="14" spans="1:11" ht="12.95" customHeight="1" thickBot="1" x14ac:dyDescent="0.25">
      <c r="A14" s="4" t="s">
        <v>91</v>
      </c>
      <c r="B14" s="10"/>
      <c r="C14" s="2">
        <v>5</v>
      </c>
      <c r="F14" s="55" t="s">
        <v>75</v>
      </c>
      <c r="G14" s="22">
        <v>-165449.54</v>
      </c>
      <c r="H14" s="44">
        <v>18</v>
      </c>
      <c r="I14" s="33"/>
      <c r="J14" s="18" t="s">
        <v>103</v>
      </c>
      <c r="K14" s="26"/>
    </row>
    <row r="15" spans="1:11" ht="12.95" customHeight="1" thickBot="1" x14ac:dyDescent="0.25">
      <c r="A15" s="4" t="s">
        <v>92</v>
      </c>
      <c r="B15" s="10"/>
      <c r="C15" s="2">
        <v>6</v>
      </c>
      <c r="F15" s="55" t="s">
        <v>86</v>
      </c>
      <c r="G15" s="22">
        <v>-859.96</v>
      </c>
      <c r="H15" s="44">
        <v>19</v>
      </c>
      <c r="I15" s="33"/>
      <c r="J15" s="18" t="s">
        <v>104</v>
      </c>
      <c r="K15" s="26">
        <v>4964611.9800000004</v>
      </c>
    </row>
    <row r="16" spans="1:11" ht="12.95" customHeight="1" thickBot="1" x14ac:dyDescent="0.25">
      <c r="A16" s="4" t="s">
        <v>7</v>
      </c>
      <c r="B16" s="10">
        <f>105232.99</f>
        <v>105232.99</v>
      </c>
      <c r="C16" s="2">
        <v>7</v>
      </c>
      <c r="F16" s="55" t="s">
        <v>76</v>
      </c>
      <c r="G16" s="22">
        <v>-23915.89</v>
      </c>
      <c r="H16" s="44">
        <v>20</v>
      </c>
      <c r="I16" s="33"/>
      <c r="J16" s="18" t="s">
        <v>105</v>
      </c>
      <c r="K16" s="26">
        <v>5954175.9299999997</v>
      </c>
    </row>
    <row r="17" spans="1:11" ht="12.95" customHeight="1" thickBot="1" x14ac:dyDescent="0.25">
      <c r="A17" s="4" t="s">
        <v>93</v>
      </c>
      <c r="B17" s="10"/>
      <c r="C17" s="2">
        <v>8</v>
      </c>
      <c r="F17" s="55" t="s">
        <v>77</v>
      </c>
      <c r="G17" s="22">
        <v>-82567.12</v>
      </c>
      <c r="H17" s="44">
        <v>21</v>
      </c>
      <c r="I17" s="33"/>
      <c r="J17" s="18" t="s">
        <v>106</v>
      </c>
      <c r="K17" s="26"/>
    </row>
    <row r="18" spans="1:11" ht="12.95" customHeight="1" thickBot="1" x14ac:dyDescent="0.25">
      <c r="A18" s="4" t="s">
        <v>94</v>
      </c>
      <c r="B18" s="10"/>
      <c r="C18" s="2">
        <v>9</v>
      </c>
      <c r="F18" s="55" t="s">
        <v>78</v>
      </c>
      <c r="G18" s="22">
        <v>-29533.070000000007</v>
      </c>
      <c r="H18" s="44">
        <v>25</v>
      </c>
      <c r="I18" s="33"/>
      <c r="J18" s="30"/>
      <c r="K18" s="26">
        <f>SUM(K14:K17)</f>
        <v>10918787.91</v>
      </c>
    </row>
    <row r="19" spans="1:11" ht="12.95" customHeight="1" thickBot="1" x14ac:dyDescent="0.25">
      <c r="A19" s="4" t="s">
        <v>95</v>
      </c>
      <c r="B19" s="10"/>
      <c r="C19" s="2">
        <v>10</v>
      </c>
      <c r="F19" s="55" t="s">
        <v>79</v>
      </c>
      <c r="G19" s="22">
        <v>-211878.93000000005</v>
      </c>
      <c r="H19" s="44">
        <v>27</v>
      </c>
      <c r="I19" s="33"/>
    </row>
    <row r="20" spans="1:11" ht="12.95" customHeight="1" thickBot="1" x14ac:dyDescent="0.25">
      <c r="A20" s="4" t="s">
        <v>8</v>
      </c>
      <c r="B20" s="10"/>
      <c r="C20" s="2">
        <v>11</v>
      </c>
      <c r="F20" s="55" t="s">
        <v>80</v>
      </c>
      <c r="G20" s="22">
        <v>-301770.15999999997</v>
      </c>
      <c r="H20" s="44">
        <v>28</v>
      </c>
      <c r="I20" s="33"/>
    </row>
    <row r="21" spans="1:11" ht="12.95" customHeight="1" thickBot="1" x14ac:dyDescent="0.25">
      <c r="A21" s="4" t="s">
        <v>96</v>
      </c>
      <c r="B21" s="10"/>
      <c r="C21" s="2">
        <v>12</v>
      </c>
      <c r="F21" s="55" t="s">
        <v>81</v>
      </c>
      <c r="G21" s="22">
        <v>-17635.77</v>
      </c>
      <c r="H21" s="44">
        <v>30</v>
      </c>
      <c r="I21" s="33"/>
    </row>
    <row r="22" spans="1:11" ht="12.95" customHeight="1" thickBot="1" x14ac:dyDescent="0.25">
      <c r="A22" s="4" t="s">
        <v>97</v>
      </c>
      <c r="B22" s="10"/>
      <c r="C22" s="2">
        <v>13</v>
      </c>
      <c r="F22" s="55" t="s">
        <v>82</v>
      </c>
      <c r="G22" s="22">
        <v>-10502.829999999998</v>
      </c>
      <c r="H22" s="44">
        <v>34</v>
      </c>
      <c r="I22" s="33"/>
    </row>
    <row r="23" spans="1:11" ht="12.95" customHeight="1" thickBot="1" x14ac:dyDescent="0.25">
      <c r="A23" s="4" t="s">
        <v>98</v>
      </c>
      <c r="B23" s="10">
        <f>398.3</f>
        <v>398.3</v>
      </c>
      <c r="C23" s="2">
        <v>14</v>
      </c>
      <c r="F23" s="55" t="s">
        <v>83</v>
      </c>
      <c r="G23" s="22">
        <v>-908.72</v>
      </c>
      <c r="H23" s="44">
        <v>35</v>
      </c>
      <c r="I23" s="33"/>
    </row>
    <row r="24" spans="1:11" ht="12.95" customHeight="1" thickBot="1" x14ac:dyDescent="0.25">
      <c r="A24" s="5" t="s">
        <v>9</v>
      </c>
      <c r="B24" s="11">
        <f>SUM(B10:B23)</f>
        <v>3437758.02</v>
      </c>
      <c r="F24" s="55" t="s">
        <v>84</v>
      </c>
      <c r="G24" s="22">
        <v>-284.77999999999963</v>
      </c>
      <c r="H24" s="44">
        <v>36</v>
      </c>
      <c r="I24" s="34"/>
    </row>
    <row r="25" spans="1:11" ht="12.95" customHeight="1" thickBot="1" x14ac:dyDescent="0.25">
      <c r="A25" s="7" t="s">
        <v>10</v>
      </c>
      <c r="B25" s="14"/>
      <c r="F25" s="55" t="s">
        <v>85</v>
      </c>
      <c r="G25" s="22">
        <v>-1381325.3199999998</v>
      </c>
      <c r="H25" s="44">
        <v>40</v>
      </c>
      <c r="I25" s="33"/>
    </row>
    <row r="26" spans="1:11" ht="12.95" customHeight="1" thickBot="1" x14ac:dyDescent="0.25">
      <c r="A26" s="5" t="s">
        <v>11</v>
      </c>
      <c r="B26" s="11">
        <f>SUM(B27:B36)</f>
        <v>757972.74</v>
      </c>
      <c r="F26" s="19" t="s">
        <v>56</v>
      </c>
      <c r="G26" s="20">
        <f>SUBTOTAL(9,G9:G25)</f>
        <v>725945.69999999925</v>
      </c>
      <c r="H26" s="20"/>
      <c r="I26" s="33"/>
    </row>
    <row r="27" spans="1:11" ht="12.95" customHeight="1" thickBot="1" x14ac:dyDescent="0.25">
      <c r="A27" s="8" t="s">
        <v>12</v>
      </c>
      <c r="B27" s="10">
        <f>377317.15-B29</f>
        <v>330520.24000000005</v>
      </c>
      <c r="C27" s="2">
        <v>15</v>
      </c>
      <c r="I27" s="33"/>
    </row>
    <row r="28" spans="1:11" ht="12.95" customHeight="1" thickBot="1" x14ac:dyDescent="0.25">
      <c r="A28" s="8" t="s">
        <v>13</v>
      </c>
      <c r="B28" s="10">
        <f>107863.08</f>
        <v>107863.08</v>
      </c>
      <c r="C28" s="2">
        <v>16</v>
      </c>
      <c r="I28" s="32"/>
    </row>
    <row r="29" spans="1:11" ht="12.95" customHeight="1" thickBot="1" x14ac:dyDescent="0.25">
      <c r="A29" s="8" t="s">
        <v>14</v>
      </c>
      <c r="B29" s="10">
        <v>46796.909999999996</v>
      </c>
      <c r="C29" s="2">
        <v>17</v>
      </c>
      <c r="F29" s="13"/>
    </row>
    <row r="30" spans="1:11" ht="12.95" customHeight="1" thickBot="1" x14ac:dyDescent="0.25">
      <c r="A30" s="8" t="s">
        <v>15</v>
      </c>
      <c r="B30" s="10">
        <f>165449.54-7998.43</f>
        <v>157451.11000000002</v>
      </c>
      <c r="C30" s="2">
        <v>18</v>
      </c>
    </row>
    <row r="31" spans="1:11" ht="12.95" customHeight="1" thickBot="1" x14ac:dyDescent="0.25">
      <c r="A31" s="8" t="s">
        <v>16</v>
      </c>
      <c r="B31" s="10">
        <v>859.96</v>
      </c>
      <c r="C31" s="2">
        <v>19</v>
      </c>
    </row>
    <row r="32" spans="1:11" ht="12.95" customHeight="1" thickBot="1" x14ac:dyDescent="0.25">
      <c r="A32" s="8" t="s">
        <v>17</v>
      </c>
      <c r="B32" s="10">
        <f>23915.89+1038.57</f>
        <v>24954.46</v>
      </c>
      <c r="C32" s="2">
        <v>20</v>
      </c>
    </row>
    <row r="33" spans="1:11" ht="12.95" customHeight="1" thickBot="1" x14ac:dyDescent="0.25">
      <c r="A33" s="8" t="s">
        <v>18</v>
      </c>
      <c r="B33" s="10">
        <f>82567.12+6959.86</f>
        <v>89526.98</v>
      </c>
      <c r="C33" s="2">
        <v>21</v>
      </c>
      <c r="F33" s="59" t="s">
        <v>212</v>
      </c>
      <c r="G33" s="59"/>
      <c r="H33" s="59"/>
      <c r="I33" s="28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57</v>
      </c>
      <c r="G34" s="40">
        <v>3363.62</v>
      </c>
      <c r="H34" s="12">
        <v>21</v>
      </c>
      <c r="I34" s="16"/>
    </row>
    <row r="35" spans="1:11" ht="12.95" customHeight="1" thickBot="1" x14ac:dyDescent="0.25">
      <c r="A35" s="8" t="s">
        <v>99</v>
      </c>
      <c r="B35" s="10"/>
      <c r="C35" s="2">
        <v>23</v>
      </c>
      <c r="F35" s="12" t="s">
        <v>58</v>
      </c>
      <c r="G35" s="24">
        <v>3596.24</v>
      </c>
      <c r="H35" s="12">
        <v>21</v>
      </c>
      <c r="I35" s="12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59</v>
      </c>
      <c r="G36" s="24">
        <v>82.47</v>
      </c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241412</v>
      </c>
      <c r="F37" s="12" t="s">
        <v>60</v>
      </c>
      <c r="G37" s="24">
        <v>956.1</v>
      </c>
      <c r="H37" s="12">
        <v>20</v>
      </c>
      <c r="I37" s="12"/>
    </row>
    <row r="38" spans="1:11" ht="12.95" customHeight="1" thickBot="1" x14ac:dyDescent="0.25">
      <c r="A38" s="5" t="s">
        <v>21</v>
      </c>
      <c r="B38" s="11">
        <f>SUM(B39:B40)</f>
        <v>29533.07</v>
      </c>
      <c r="F38" s="12"/>
      <c r="G38" s="38">
        <f>SUM(G34:G37)</f>
        <v>7998.43</v>
      </c>
      <c r="H38" s="12"/>
      <c r="I38" s="16"/>
    </row>
    <row r="39" spans="1:11" ht="12.95" customHeight="1" thickBot="1" x14ac:dyDescent="0.25">
      <c r="A39" s="8" t="s">
        <v>22</v>
      </c>
      <c r="B39" s="10">
        <v>29533.07</v>
      </c>
      <c r="C39" s="2">
        <v>25</v>
      </c>
      <c r="F39" s="12"/>
      <c r="G39" s="12"/>
      <c r="H39" s="12"/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61</v>
      </c>
      <c r="G40" s="24">
        <v>7576.65</v>
      </c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211878.93</v>
      </c>
      <c r="C41" s="2">
        <v>27</v>
      </c>
      <c r="F41" s="23" t="s">
        <v>62</v>
      </c>
      <c r="G41" s="24"/>
      <c r="H41" s="12">
        <v>17</v>
      </c>
      <c r="I41" s="12"/>
    </row>
    <row r="42" spans="1:11" ht="12.95" customHeight="1" thickBot="1" x14ac:dyDescent="0.25">
      <c r="A42" s="5" t="s">
        <v>25</v>
      </c>
      <c r="B42" s="11">
        <f>SUM(B43:B45)</f>
        <v>319405.93</v>
      </c>
      <c r="F42" s="23" t="s">
        <v>63</v>
      </c>
      <c r="G42" s="24">
        <v>1459.07</v>
      </c>
      <c r="H42" s="12">
        <v>17</v>
      </c>
      <c r="I42" s="12"/>
      <c r="J42" s="17"/>
    </row>
    <row r="43" spans="1:11" ht="12.95" customHeight="1" thickBot="1" x14ac:dyDescent="0.25">
      <c r="A43" s="8" t="s">
        <v>26</v>
      </c>
      <c r="B43" s="10">
        <v>301770.15999999997</v>
      </c>
      <c r="C43" s="2">
        <v>28</v>
      </c>
      <c r="F43" s="23" t="s">
        <v>64</v>
      </c>
      <c r="G43" s="24">
        <v>1194.1600000000001</v>
      </c>
      <c r="H43" s="12">
        <v>17</v>
      </c>
      <c r="I43" s="12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65</v>
      </c>
      <c r="G44" s="24"/>
      <c r="H44" s="12">
        <v>17</v>
      </c>
      <c r="I44" s="12"/>
      <c r="K44" s="17"/>
    </row>
    <row r="45" spans="1:11" ht="12.95" customHeight="1" thickBot="1" x14ac:dyDescent="0.25">
      <c r="A45" s="8" t="s">
        <v>28</v>
      </c>
      <c r="B45" s="10">
        <v>17635.77</v>
      </c>
      <c r="C45" s="2">
        <v>30</v>
      </c>
      <c r="F45" s="23" t="s">
        <v>108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0</v>
      </c>
      <c r="F46" s="23" t="s">
        <v>109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/>
      <c r="C47" s="2">
        <v>31</v>
      </c>
      <c r="F47" s="23" t="s">
        <v>66</v>
      </c>
      <c r="G47" s="24"/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67</v>
      </c>
      <c r="G48" s="24">
        <v>28900.5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68</v>
      </c>
      <c r="G49" s="24">
        <v>6757.6</v>
      </c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10502.83</v>
      </c>
      <c r="C50" s="2">
        <v>34</v>
      </c>
      <c r="F50" s="23" t="s">
        <v>69</v>
      </c>
      <c r="G50" s="24">
        <v>908.93</v>
      </c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908.72</v>
      </c>
      <c r="C51" s="2">
        <v>35</v>
      </c>
      <c r="F51" s="23" t="s">
        <v>110</v>
      </c>
      <c r="G51" s="24"/>
      <c r="H51" s="12">
        <v>17</v>
      </c>
      <c r="I51" s="12"/>
    </row>
    <row r="52" spans="1:9" ht="12.95" customHeight="1" thickBot="1" x14ac:dyDescent="0.25">
      <c r="A52" s="9" t="s">
        <v>35</v>
      </c>
      <c r="B52" s="10">
        <v>284.77999999999997</v>
      </c>
      <c r="C52" s="2">
        <v>36</v>
      </c>
      <c r="F52" s="13"/>
      <c r="G52" s="37">
        <f>SUM(G40:G51)</f>
        <v>46796.909999999996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  <c r="F55" s="59" t="s">
        <v>211</v>
      </c>
      <c r="G55" s="59"/>
      <c r="H55" s="59"/>
    </row>
    <row r="56" spans="1:9" ht="12.95" customHeight="1" thickBot="1" x14ac:dyDescent="0.25">
      <c r="A56" s="9" t="s">
        <v>39</v>
      </c>
      <c r="B56" s="10">
        <v>1381325.32</v>
      </c>
      <c r="C56" s="2">
        <v>40</v>
      </c>
      <c r="F56" s="23" t="s">
        <v>111</v>
      </c>
      <c r="G56" s="24"/>
      <c r="H56" s="12">
        <v>23</v>
      </c>
    </row>
    <row r="57" spans="1:9" ht="12.95" customHeight="1" thickBot="1" x14ac:dyDescent="0.25">
      <c r="A57" s="5" t="s">
        <v>40</v>
      </c>
      <c r="B57" s="11">
        <f>B26+B37+B42+B46+B50+B51+B52+B53+B54+B55+B56</f>
        <v>2711812.3200000003</v>
      </c>
      <c r="F57" s="23" t="s">
        <v>112</v>
      </c>
      <c r="G57" s="24"/>
      <c r="H57" s="12">
        <v>23</v>
      </c>
    </row>
    <row r="58" spans="1:9" ht="12.95" customHeight="1" thickBot="1" x14ac:dyDescent="0.25">
      <c r="A58" s="5" t="s">
        <v>41</v>
      </c>
      <c r="B58" s="11">
        <f>B24-B57</f>
        <v>725945.69999999972</v>
      </c>
      <c r="F58" s="23" t="s">
        <v>115</v>
      </c>
      <c r="G58" s="24"/>
      <c r="H58" s="12">
        <v>23</v>
      </c>
      <c r="I58" s="12"/>
    </row>
    <row r="59" spans="1:9" ht="12.95" customHeight="1" thickBot="1" x14ac:dyDescent="0.25">
      <c r="A59" s="5" t="s">
        <v>42</v>
      </c>
      <c r="B59" s="11">
        <f>B8+B24-B57</f>
        <v>10918787.910000008</v>
      </c>
      <c r="G59" s="39">
        <f>SUM(G56:G58)</f>
        <v>0</v>
      </c>
    </row>
    <row r="60" spans="1:9" ht="12.95" customHeight="1" x14ac:dyDescent="0.2">
      <c r="A60" s="6"/>
    </row>
    <row r="61" spans="1:9" ht="12.95" customHeight="1" thickBot="1" x14ac:dyDescent="0.25">
      <c r="A61" s="65" t="s">
        <v>43</v>
      </c>
      <c r="B61" s="65"/>
      <c r="C61" s="65"/>
      <c r="D61" s="65"/>
      <c r="E61" s="65"/>
    </row>
    <row r="62" spans="1:9" ht="12.95" customHeight="1" thickBot="1" x14ac:dyDescent="0.25">
      <c r="A62" s="62"/>
      <c r="B62" s="3" t="str">
        <f>B6</f>
        <v>Janeiro</v>
      </c>
    </row>
    <row r="63" spans="1:9" ht="12.95" customHeight="1" thickBot="1" x14ac:dyDescent="0.25">
      <c r="A63" s="63"/>
      <c r="B63" s="3" t="s">
        <v>3</v>
      </c>
    </row>
    <row r="64" spans="1:9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K15+K16</f>
        <v>10918787.91</v>
      </c>
    </row>
    <row r="66" spans="1:7" ht="12.95" customHeight="1" thickBot="1" x14ac:dyDescent="0.25">
      <c r="A66" s="4" t="s">
        <v>46</v>
      </c>
      <c r="B66" s="10"/>
    </row>
    <row r="67" spans="1:7" ht="12.95" customHeight="1" thickBot="1" x14ac:dyDescent="0.25">
      <c r="A67" s="5" t="s">
        <v>47</v>
      </c>
      <c r="B67" s="11">
        <f>SUM(B64:B66)</f>
        <v>10918787.91</v>
      </c>
      <c r="C67" s="17"/>
    </row>
    <row r="68" spans="1:7" ht="12.95" customHeight="1" x14ac:dyDescent="0.2">
      <c r="A68" s="6"/>
    </row>
    <row r="69" spans="1:7" ht="12.95" customHeight="1" thickBot="1" x14ac:dyDescent="0.25">
      <c r="A69" s="65" t="s">
        <v>48</v>
      </c>
      <c r="B69" s="65"/>
      <c r="C69" s="65"/>
      <c r="D69" s="65"/>
      <c r="E69" s="65"/>
    </row>
    <row r="70" spans="1:7" ht="12.95" customHeight="1" thickBot="1" x14ac:dyDescent="0.25">
      <c r="A70" s="62"/>
      <c r="B70" s="3" t="str">
        <f>B62</f>
        <v>Janeiro</v>
      </c>
    </row>
    <row r="71" spans="1:7" ht="12.95" customHeight="1" thickBot="1" x14ac:dyDescent="0.25">
      <c r="A71" s="63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5"/>
    </row>
    <row r="73" spans="1:7" ht="12.95" customHeight="1" thickBot="1" x14ac:dyDescent="0.25">
      <c r="A73" s="4" t="s">
        <v>50</v>
      </c>
      <c r="B73" s="14">
        <f>+B65+B66</f>
        <v>10918787.91</v>
      </c>
      <c r="C73" s="25"/>
      <c r="G73" s="17"/>
    </row>
    <row r="74" spans="1:7" ht="12.95" customHeight="1" thickBot="1" x14ac:dyDescent="0.25">
      <c r="A74" s="5" t="s">
        <v>47</v>
      </c>
      <c r="B74" s="11">
        <f>SUM(B72:B73)</f>
        <v>10918787.91</v>
      </c>
      <c r="C74" s="17"/>
    </row>
    <row r="75" spans="1:7" ht="12.95" customHeight="1" x14ac:dyDescent="0.2">
      <c r="A75" s="6"/>
      <c r="B75" s="17"/>
    </row>
    <row r="76" spans="1:7" ht="12.95" customHeight="1" thickBot="1" x14ac:dyDescent="0.25">
      <c r="A76" s="65" t="s">
        <v>51</v>
      </c>
      <c r="B76" s="65"/>
      <c r="C76" s="65"/>
      <c r="D76" s="65"/>
      <c r="E76" s="65"/>
      <c r="F76" s="27"/>
      <c r="G76" s="22"/>
    </row>
    <row r="77" spans="1:7" ht="12.95" customHeight="1" thickBot="1" x14ac:dyDescent="0.25">
      <c r="A77" s="4"/>
      <c r="B77" s="3" t="s">
        <v>52</v>
      </c>
      <c r="C77" s="64" t="s">
        <v>216</v>
      </c>
      <c r="D77" s="64"/>
      <c r="E77" s="64"/>
      <c r="F77" s="64"/>
      <c r="G77" s="17"/>
    </row>
    <row r="78" spans="1:7" ht="12.95" customHeight="1" thickBot="1" x14ac:dyDescent="0.25">
      <c r="A78" s="4" t="s">
        <v>53</v>
      </c>
      <c r="B78" s="3" t="str">
        <f>B70</f>
        <v>Janeiro</v>
      </c>
      <c r="C78" s="64"/>
      <c r="D78" s="64"/>
      <c r="E78" s="64"/>
      <c r="F78" s="64"/>
    </row>
    <row r="79" spans="1:7" ht="12.95" customHeight="1" x14ac:dyDescent="0.2">
      <c r="A79" s="6"/>
      <c r="C79" s="64"/>
      <c r="D79" s="64"/>
      <c r="E79" s="64"/>
      <c r="F79" s="64"/>
    </row>
    <row r="80" spans="1:7" ht="12.95" customHeight="1" x14ac:dyDescent="0.2">
      <c r="C80" s="64"/>
      <c r="D80" s="64"/>
      <c r="E80" s="64"/>
      <c r="F80" s="64"/>
    </row>
    <row r="81" spans="3:6" ht="12.95" customHeight="1" x14ac:dyDescent="0.2">
      <c r="C81" s="64"/>
      <c r="D81" s="64"/>
      <c r="E81" s="64"/>
      <c r="F81" s="64"/>
    </row>
    <row r="82" spans="3:6" ht="12.95" customHeight="1" x14ac:dyDescent="0.2">
      <c r="E82" s="22"/>
      <c r="F82" s="17"/>
    </row>
    <row r="83" spans="3:6" ht="12.95" customHeight="1" x14ac:dyDescent="0.2">
      <c r="E83" s="17"/>
    </row>
    <row r="84" spans="3:6" ht="12.95" customHeight="1" x14ac:dyDescent="0.2">
      <c r="F84" s="17"/>
    </row>
    <row r="85" spans="3:6" ht="12.95" customHeight="1" x14ac:dyDescent="0.2">
      <c r="F85" s="17"/>
    </row>
  </sheetData>
  <sortState xmlns:xlrd2="http://schemas.microsoft.com/office/spreadsheetml/2017/richdata2" ref="F9:H27">
    <sortCondition ref="H9:H27"/>
  </sortState>
  <mergeCells count="15">
    <mergeCell ref="C77:F81"/>
    <mergeCell ref="A62:A63"/>
    <mergeCell ref="A61:E61"/>
    <mergeCell ref="A76:E76"/>
    <mergeCell ref="C6:C7"/>
    <mergeCell ref="A70:A71"/>
    <mergeCell ref="A69:E69"/>
    <mergeCell ref="J8:K8"/>
    <mergeCell ref="J13:K13"/>
    <mergeCell ref="F55:H55"/>
    <mergeCell ref="A1:E1"/>
    <mergeCell ref="A2:E2"/>
    <mergeCell ref="A3:E3"/>
    <mergeCell ref="A6:A7"/>
    <mergeCell ref="F33:H33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  <ignoredErrors>
    <ignoredError sqref="B38 B46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4BF7-113A-43BE-ADF3-4A5DEC030ED0}">
  <sheetPr>
    <pageSetUpPr fitToPage="1"/>
  </sheetPr>
  <dimension ref="A1:L84"/>
  <sheetViews>
    <sheetView showGridLines="0" topLeftCell="A70" zoomScaleNormal="10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3.28515625" style="2" bestFit="1" customWidth="1"/>
    <col min="4" max="4" width="37.14062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4.28515625" style="2" customWidth="1"/>
    <col min="10" max="10" width="10.85546875" style="2" bestFit="1" customWidth="1"/>
    <col min="11" max="11" width="23.28515625" style="2" bestFit="1" customWidth="1"/>
    <col min="12" max="12" width="12.140625" style="2" bestFit="1" customWidth="1"/>
    <col min="13" max="13" width="12.5703125" style="2" bestFit="1" customWidth="1"/>
    <col min="14" max="16384" width="9.140625" style="2"/>
  </cols>
  <sheetData>
    <row r="1" spans="1:12" ht="12.95" customHeight="1" x14ac:dyDescent="0.2">
      <c r="A1" s="60" t="s">
        <v>149</v>
      </c>
      <c r="B1" s="60"/>
      <c r="C1" s="60"/>
      <c r="D1" s="6"/>
      <c r="E1" s="6"/>
    </row>
    <row r="2" spans="1:12" ht="12.95" customHeight="1" x14ac:dyDescent="0.2">
      <c r="A2" s="61" t="s">
        <v>0</v>
      </c>
      <c r="B2" s="61"/>
      <c r="C2" s="61"/>
      <c r="D2" s="42"/>
      <c r="E2" s="42"/>
    </row>
    <row r="3" spans="1:12" ht="12.95" customHeight="1" thickBot="1" x14ac:dyDescent="0.25">
      <c r="A3" s="61" t="s">
        <v>188</v>
      </c>
      <c r="B3" s="61"/>
      <c r="C3" s="42"/>
      <c r="D3" s="42"/>
      <c r="E3" s="42"/>
    </row>
    <row r="4" spans="1:12" ht="12.95" customHeight="1" thickBot="1" x14ac:dyDescent="0.25">
      <c r="A4" s="1" t="s">
        <v>1</v>
      </c>
    </row>
    <row r="5" spans="1:12" ht="12.95" customHeight="1" thickBot="1" x14ac:dyDescent="0.25"/>
    <row r="6" spans="1:12" ht="12.95" customHeight="1" thickBot="1" x14ac:dyDescent="0.25">
      <c r="A6" s="62"/>
      <c r="B6" s="3" t="s">
        <v>125</v>
      </c>
      <c r="C6" s="66" t="s">
        <v>54</v>
      </c>
    </row>
    <row r="7" spans="1:12" ht="12.95" customHeight="1" thickBot="1" x14ac:dyDescent="0.25">
      <c r="A7" s="63"/>
      <c r="B7" s="3" t="s">
        <v>3</v>
      </c>
      <c r="C7" s="66"/>
    </row>
    <row r="8" spans="1:12" ht="12.95" customHeight="1" thickBot="1" x14ac:dyDescent="0.25">
      <c r="A8" s="4" t="s">
        <v>4</v>
      </c>
      <c r="B8" s="11">
        <f>Setembro!B59</f>
        <v>15613217.610000009</v>
      </c>
      <c r="F8" s="18" t="s">
        <v>107</v>
      </c>
      <c r="G8" s="21" t="s">
        <v>189</v>
      </c>
      <c r="H8" s="21" t="s">
        <v>54</v>
      </c>
      <c r="I8" s="31"/>
      <c r="J8" s="31"/>
      <c r="K8" s="58" t="s">
        <v>101</v>
      </c>
      <c r="L8" s="58"/>
    </row>
    <row r="9" spans="1:12" ht="12.95" customHeight="1" thickBot="1" x14ac:dyDescent="0.25">
      <c r="A9" s="7" t="s">
        <v>5</v>
      </c>
      <c r="B9" s="14"/>
      <c r="F9" s="23" t="s">
        <v>130</v>
      </c>
      <c r="G9" s="16">
        <v>3447523.02</v>
      </c>
      <c r="H9" s="44">
        <v>1</v>
      </c>
      <c r="I9" s="54"/>
      <c r="J9" s="33"/>
      <c r="K9" s="18" t="s">
        <v>70</v>
      </c>
      <c r="L9" s="26" t="s">
        <v>190</v>
      </c>
    </row>
    <row r="10" spans="1:12" ht="12.95" customHeight="1" thickBot="1" x14ac:dyDescent="0.25">
      <c r="A10" s="4" t="s">
        <v>6</v>
      </c>
      <c r="B10" s="10">
        <v>3447523.02</v>
      </c>
      <c r="C10" s="2">
        <v>1</v>
      </c>
      <c r="F10" s="23" t="s">
        <v>72</v>
      </c>
      <c r="G10" s="16">
        <v>138213.57999999999</v>
      </c>
      <c r="H10" s="44">
        <v>7</v>
      </c>
      <c r="I10" s="54"/>
      <c r="J10" s="33"/>
      <c r="K10" s="18" t="s">
        <v>116</v>
      </c>
      <c r="L10" s="26" t="s">
        <v>191</v>
      </c>
    </row>
    <row r="11" spans="1:12" ht="12.95" customHeight="1" thickBot="1" x14ac:dyDescent="0.25">
      <c r="A11" s="4" t="s">
        <v>88</v>
      </c>
      <c r="B11" s="10"/>
      <c r="C11" s="2">
        <v>2</v>
      </c>
      <c r="F11" s="23" t="s">
        <v>147</v>
      </c>
      <c r="G11" s="16">
        <v>10.44</v>
      </c>
      <c r="H11" s="44">
        <v>13</v>
      </c>
      <c r="I11" s="54"/>
      <c r="J11" s="33"/>
      <c r="K11" s="18" t="s">
        <v>71</v>
      </c>
      <c r="L11" s="26" t="s">
        <v>192</v>
      </c>
    </row>
    <row r="12" spans="1:12" ht="12.95" customHeight="1" thickBot="1" x14ac:dyDescent="0.25">
      <c r="A12" s="4" t="s">
        <v>89</v>
      </c>
      <c r="B12" s="10"/>
      <c r="C12" s="2">
        <v>3</v>
      </c>
      <c r="F12" s="23" t="s">
        <v>73</v>
      </c>
      <c r="G12" s="16">
        <v>-353725.85000000003</v>
      </c>
      <c r="H12" s="44">
        <v>15</v>
      </c>
      <c r="I12" s="54"/>
      <c r="J12" s="33"/>
      <c r="K12" s="29"/>
      <c r="L12" s="29"/>
    </row>
    <row r="13" spans="1:12" ht="12.95" customHeight="1" thickBot="1" x14ac:dyDescent="0.25">
      <c r="A13" s="4" t="s">
        <v>90</v>
      </c>
      <c r="B13" s="10"/>
      <c r="C13" s="2">
        <v>4</v>
      </c>
      <c r="F13" s="23" t="s">
        <v>74</v>
      </c>
      <c r="G13" s="16">
        <v>-185288.07000000004</v>
      </c>
      <c r="H13" s="44">
        <v>16</v>
      </c>
      <c r="I13" s="54"/>
      <c r="J13" s="33"/>
      <c r="K13" s="58" t="s">
        <v>102</v>
      </c>
      <c r="L13" s="58"/>
    </row>
    <row r="14" spans="1:12" ht="12.95" customHeight="1" thickBot="1" x14ac:dyDescent="0.25">
      <c r="A14" s="4" t="s">
        <v>91</v>
      </c>
      <c r="B14" s="10"/>
      <c r="C14" s="2">
        <v>5</v>
      </c>
      <c r="F14" s="23" t="s">
        <v>75</v>
      </c>
      <c r="G14" s="16">
        <v>-123141.67</v>
      </c>
      <c r="H14" s="44">
        <v>18</v>
      </c>
      <c r="I14" s="54"/>
      <c r="J14" s="33"/>
      <c r="K14" s="18" t="s">
        <v>114</v>
      </c>
      <c r="L14" s="26">
        <v>4327515.49</v>
      </c>
    </row>
    <row r="15" spans="1:12" ht="12.95" customHeight="1" thickBot="1" x14ac:dyDescent="0.25">
      <c r="A15" s="4" t="s">
        <v>92</v>
      </c>
      <c r="B15" s="10"/>
      <c r="C15" s="2">
        <v>6</v>
      </c>
      <c r="F15" s="23" t="s">
        <v>86</v>
      </c>
      <c r="G15" s="16">
        <v>-415.92</v>
      </c>
      <c r="H15" s="44">
        <v>19</v>
      </c>
      <c r="I15" s="54"/>
      <c r="J15" s="33"/>
      <c r="K15" s="18" t="s">
        <v>145</v>
      </c>
      <c r="L15" s="26">
        <v>7731386.7400000002</v>
      </c>
    </row>
    <row r="16" spans="1:12" ht="12.95" customHeight="1" thickBot="1" x14ac:dyDescent="0.25">
      <c r="A16" s="4" t="s">
        <v>7</v>
      </c>
      <c r="B16" s="10">
        <v>138213.57999999999</v>
      </c>
      <c r="C16" s="2">
        <v>7</v>
      </c>
      <c r="F16" s="23" t="s">
        <v>77</v>
      </c>
      <c r="G16" s="16">
        <v>-64549.87000000001</v>
      </c>
      <c r="H16" s="44">
        <v>21</v>
      </c>
      <c r="I16" s="54"/>
      <c r="J16" s="33"/>
      <c r="K16" s="18" t="s">
        <v>106</v>
      </c>
      <c r="L16" s="26">
        <v>183.96</v>
      </c>
    </row>
    <row r="17" spans="1:12" ht="12.95" customHeight="1" thickBot="1" x14ac:dyDescent="0.25">
      <c r="A17" s="4" t="s">
        <v>93</v>
      </c>
      <c r="B17" s="10"/>
      <c r="C17" s="2">
        <v>8</v>
      </c>
      <c r="F17" s="23" t="s">
        <v>78</v>
      </c>
      <c r="G17" s="16">
        <v>-32163.08</v>
      </c>
      <c r="H17" s="44">
        <v>25</v>
      </c>
      <c r="I17" s="54"/>
      <c r="J17" s="33"/>
      <c r="K17" s="30"/>
      <c r="L17" s="26">
        <f>SUM(L14:L16)</f>
        <v>12059086.190000001</v>
      </c>
    </row>
    <row r="18" spans="1:12" ht="12.95" customHeight="1" thickBot="1" x14ac:dyDescent="0.25">
      <c r="A18" s="4" t="s">
        <v>94</v>
      </c>
      <c r="B18" s="10"/>
      <c r="C18" s="2">
        <v>9</v>
      </c>
      <c r="F18" s="23" t="s">
        <v>79</v>
      </c>
      <c r="G18" s="16">
        <v>-251367.21</v>
      </c>
      <c r="H18" s="44">
        <v>27</v>
      </c>
      <c r="I18" s="54"/>
      <c r="J18" s="33"/>
    </row>
    <row r="19" spans="1:12" ht="12.95" customHeight="1" thickBot="1" x14ac:dyDescent="0.25">
      <c r="A19" s="4" t="s">
        <v>95</v>
      </c>
      <c r="B19" s="10"/>
      <c r="C19" s="2">
        <v>10</v>
      </c>
      <c r="F19" s="23" t="s">
        <v>80</v>
      </c>
      <c r="G19" s="16">
        <v>-500644.45000000013</v>
      </c>
      <c r="H19" s="44">
        <v>28</v>
      </c>
      <c r="I19" s="54"/>
      <c r="J19" s="33"/>
    </row>
    <row r="20" spans="1:12" ht="12.95" customHeight="1" thickBot="1" x14ac:dyDescent="0.25">
      <c r="A20" s="4" t="s">
        <v>8</v>
      </c>
      <c r="B20" s="10"/>
      <c r="C20" s="2">
        <v>11</v>
      </c>
      <c r="F20" s="23" t="s">
        <v>81</v>
      </c>
      <c r="G20" s="16">
        <v>-58991.049999999996</v>
      </c>
      <c r="H20" s="44">
        <v>30</v>
      </c>
      <c r="I20" s="54"/>
      <c r="J20" s="33"/>
    </row>
    <row r="21" spans="1:12" ht="12.95" customHeight="1" thickBot="1" x14ac:dyDescent="0.25">
      <c r="A21" s="4" t="s">
        <v>96</v>
      </c>
      <c r="B21" s="10"/>
      <c r="C21" s="2">
        <v>12</v>
      </c>
      <c r="F21" s="23" t="s">
        <v>82</v>
      </c>
      <c r="G21" s="16">
        <v>-9039.7199999999993</v>
      </c>
      <c r="H21" s="44">
        <v>34</v>
      </c>
      <c r="I21" s="54"/>
      <c r="J21" s="33"/>
    </row>
    <row r="22" spans="1:12" ht="12.95" customHeight="1" thickBot="1" x14ac:dyDescent="0.25">
      <c r="A22" s="4" t="s">
        <v>97</v>
      </c>
      <c r="B22" s="10">
        <v>10.44</v>
      </c>
      <c r="C22" s="2">
        <v>13</v>
      </c>
      <c r="F22" s="23" t="s">
        <v>83</v>
      </c>
      <c r="G22" s="16">
        <v>-908.72</v>
      </c>
      <c r="H22" s="44">
        <v>35</v>
      </c>
      <c r="I22" s="54"/>
      <c r="J22" s="33"/>
    </row>
    <row r="23" spans="1:12" ht="12.95" customHeight="1" thickBot="1" x14ac:dyDescent="0.25">
      <c r="A23" s="4" t="s">
        <v>98</v>
      </c>
      <c r="B23" s="10"/>
      <c r="C23" s="2">
        <v>14</v>
      </c>
      <c r="F23" s="23" t="s">
        <v>84</v>
      </c>
      <c r="G23" s="16">
        <v>-28.690000000000012</v>
      </c>
      <c r="H23" s="44">
        <v>36</v>
      </c>
      <c r="I23" s="54"/>
      <c r="J23" s="33"/>
    </row>
    <row r="24" spans="1:12" ht="12.95" customHeight="1" thickBot="1" x14ac:dyDescent="0.25">
      <c r="A24" s="5" t="s">
        <v>9</v>
      </c>
      <c r="B24" s="11">
        <f>SUM(B10:B23)</f>
        <v>3585747.04</v>
      </c>
      <c r="F24" s="23" t="s">
        <v>85</v>
      </c>
      <c r="G24" s="16">
        <v>-1433240.8499999999</v>
      </c>
      <c r="H24" s="44">
        <v>40</v>
      </c>
      <c r="I24" s="54"/>
      <c r="J24" s="34"/>
    </row>
    <row r="25" spans="1:12" ht="12.95" customHeight="1" thickBot="1" x14ac:dyDescent="0.25">
      <c r="A25" s="7" t="s">
        <v>10</v>
      </c>
      <c r="B25" s="14"/>
      <c r="F25" s="19" t="s">
        <v>56</v>
      </c>
      <c r="G25" s="20">
        <f>SUBTOTAL(9,G9:G24)</f>
        <v>572241.89000000013</v>
      </c>
      <c r="H25" s="20"/>
      <c r="I25" s="32"/>
      <c r="J25" s="33"/>
    </row>
    <row r="26" spans="1:12" ht="12.95" customHeight="1" thickBot="1" x14ac:dyDescent="0.25">
      <c r="A26" s="5" t="s">
        <v>11</v>
      </c>
      <c r="B26" s="11">
        <f>SUM(B27:B36)</f>
        <v>727121.37999999989</v>
      </c>
      <c r="F26" s="23"/>
      <c r="G26" s="16"/>
      <c r="H26" s="12"/>
      <c r="I26" s="12"/>
      <c r="J26" s="33"/>
    </row>
    <row r="27" spans="1:12" ht="12.95" customHeight="1" thickBot="1" x14ac:dyDescent="0.25">
      <c r="A27" s="8" t="s">
        <v>12</v>
      </c>
      <c r="B27" s="10">
        <f>353725.85-B29-B35</f>
        <v>326083.45999999996</v>
      </c>
      <c r="C27" s="2">
        <v>15</v>
      </c>
      <c r="J27" s="32"/>
    </row>
    <row r="28" spans="1:12" ht="12.95" customHeight="1" thickBot="1" x14ac:dyDescent="0.25">
      <c r="A28" s="8" t="s">
        <v>13</v>
      </c>
      <c r="B28" s="10">
        <v>185288.07</v>
      </c>
      <c r="C28" s="2">
        <v>16</v>
      </c>
      <c r="F28" s="13"/>
    </row>
    <row r="29" spans="1:12" ht="12.95" customHeight="1" thickBot="1" x14ac:dyDescent="0.25">
      <c r="A29" s="8" t="s">
        <v>14</v>
      </c>
      <c r="B29" s="10">
        <v>27642.390000000003</v>
      </c>
      <c r="C29" s="2">
        <v>17</v>
      </c>
    </row>
    <row r="30" spans="1:12" ht="12.95" customHeight="1" thickBot="1" x14ac:dyDescent="0.25">
      <c r="A30" s="8" t="s">
        <v>15</v>
      </c>
      <c r="B30" s="10">
        <f>123141.67-7047.02</f>
        <v>116094.65</v>
      </c>
      <c r="C30" s="2">
        <v>18</v>
      </c>
    </row>
    <row r="31" spans="1:12" ht="12.95" customHeight="1" thickBot="1" x14ac:dyDescent="0.25">
      <c r="A31" s="8" t="s">
        <v>16</v>
      </c>
      <c r="B31" s="10">
        <v>415.92</v>
      </c>
      <c r="C31" s="2">
        <v>19</v>
      </c>
    </row>
    <row r="32" spans="1:12" ht="12.95" customHeight="1" thickBot="1" x14ac:dyDescent="0.25">
      <c r="A32" s="8" t="s">
        <v>17</v>
      </c>
      <c r="B32" s="10">
        <f>245.57</f>
        <v>245.57</v>
      </c>
      <c r="C32" s="2">
        <v>20</v>
      </c>
      <c r="F32" s="59" t="s">
        <v>193</v>
      </c>
      <c r="G32" s="59"/>
      <c r="H32" s="59"/>
      <c r="I32" s="51"/>
      <c r="J32" s="28"/>
    </row>
    <row r="33" spans="1:12" ht="12.95" customHeight="1" thickBot="1" x14ac:dyDescent="0.25">
      <c r="A33" s="8" t="s">
        <v>18</v>
      </c>
      <c r="B33" s="10">
        <f>64549.87+6801.45</f>
        <v>71351.320000000007</v>
      </c>
      <c r="C33" s="2">
        <v>21</v>
      </c>
      <c r="F33" s="12" t="s">
        <v>57</v>
      </c>
      <c r="G33" s="40">
        <v>4531.17</v>
      </c>
      <c r="H33" s="12">
        <v>21</v>
      </c>
      <c r="I33" s="12"/>
      <c r="J33" s="16"/>
    </row>
    <row r="34" spans="1:12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2270.2800000000002</v>
      </c>
      <c r="H34" s="12">
        <v>21</v>
      </c>
      <c r="I34" s="12"/>
      <c r="J34" s="12"/>
    </row>
    <row r="35" spans="1:12" ht="12.95" customHeight="1" thickBot="1" x14ac:dyDescent="0.25">
      <c r="A35" s="8" t="s">
        <v>99</v>
      </c>
      <c r="B35" s="10"/>
      <c r="C35" s="2">
        <v>23</v>
      </c>
      <c r="F35" s="12" t="s">
        <v>59</v>
      </c>
      <c r="G35" s="24"/>
      <c r="H35" s="12">
        <v>20</v>
      </c>
      <c r="I35" s="12"/>
      <c r="J35" s="16"/>
    </row>
    <row r="36" spans="1:12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>
        <v>245.57</v>
      </c>
      <c r="H36" s="12">
        <v>20</v>
      </c>
      <c r="I36" s="12"/>
      <c r="J36" s="16"/>
    </row>
    <row r="37" spans="1:12" ht="12.95" customHeight="1" thickBot="1" x14ac:dyDescent="0.25">
      <c r="A37" s="5" t="s">
        <v>20</v>
      </c>
      <c r="B37" s="11">
        <f>B38+B41</f>
        <v>283530.28999999998</v>
      </c>
      <c r="F37" s="12"/>
      <c r="G37" s="38">
        <f>SUM(G33:G36)</f>
        <v>7047.02</v>
      </c>
      <c r="H37" s="12"/>
      <c r="I37" s="12"/>
      <c r="J37" s="38"/>
    </row>
    <row r="38" spans="1:12" ht="12.95" customHeight="1" thickBot="1" x14ac:dyDescent="0.25">
      <c r="A38" s="5" t="s">
        <v>21</v>
      </c>
      <c r="B38" s="11">
        <f>SUM(B39:B40)</f>
        <v>32163.08</v>
      </c>
      <c r="F38" s="12"/>
      <c r="G38" s="12"/>
      <c r="H38" s="12"/>
      <c r="I38" s="12"/>
      <c r="J38" s="12"/>
    </row>
    <row r="39" spans="1:12" ht="12.95" customHeight="1" thickBot="1" x14ac:dyDescent="0.25">
      <c r="A39" s="8" t="s">
        <v>22</v>
      </c>
      <c r="B39" s="10">
        <v>32163.08</v>
      </c>
      <c r="C39" s="2">
        <v>25</v>
      </c>
      <c r="F39" s="23" t="s">
        <v>61</v>
      </c>
      <c r="G39" s="24">
        <v>3878.38</v>
      </c>
      <c r="H39" s="12">
        <v>17</v>
      </c>
      <c r="I39" s="12"/>
      <c r="J39" s="12"/>
    </row>
    <row r="40" spans="1:12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/>
      <c r="H40" s="12">
        <v>17</v>
      </c>
      <c r="I40" s="12"/>
      <c r="J40" s="12"/>
    </row>
    <row r="41" spans="1:12" ht="12.95" customHeight="1" thickBot="1" x14ac:dyDescent="0.25">
      <c r="A41" s="9" t="s">
        <v>24</v>
      </c>
      <c r="B41" s="10">
        <v>251367.21</v>
      </c>
      <c r="C41" s="2">
        <v>27</v>
      </c>
      <c r="F41" s="23" t="s">
        <v>63</v>
      </c>
      <c r="G41" s="24">
        <v>2627.81</v>
      </c>
      <c r="H41" s="12">
        <v>17</v>
      </c>
      <c r="I41" s="12"/>
      <c r="J41" s="12"/>
      <c r="K41" s="17"/>
    </row>
    <row r="42" spans="1:12" ht="12.95" customHeight="1" thickBot="1" x14ac:dyDescent="0.25">
      <c r="A42" s="5" t="s">
        <v>25</v>
      </c>
      <c r="B42" s="11">
        <f>SUM(B43:B45)</f>
        <v>559635.5</v>
      </c>
      <c r="F42" s="23" t="s">
        <v>64</v>
      </c>
      <c r="G42" s="24">
        <v>2219.46</v>
      </c>
      <c r="H42" s="12">
        <v>17</v>
      </c>
      <c r="I42" s="12"/>
      <c r="J42" s="12"/>
    </row>
    <row r="43" spans="1:12" ht="12.95" customHeight="1" thickBot="1" x14ac:dyDescent="0.25">
      <c r="A43" s="8" t="s">
        <v>26</v>
      </c>
      <c r="B43" s="10">
        <v>500644.45</v>
      </c>
      <c r="C43" s="2">
        <v>28</v>
      </c>
      <c r="F43" s="23" t="s">
        <v>65</v>
      </c>
      <c r="G43" s="24"/>
      <c r="H43" s="12">
        <v>17</v>
      </c>
      <c r="I43" s="12"/>
      <c r="J43" s="12"/>
      <c r="L43" s="17"/>
    </row>
    <row r="44" spans="1:12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12"/>
      <c r="J44" s="12"/>
    </row>
    <row r="45" spans="1:12" ht="12.95" customHeight="1" thickBot="1" x14ac:dyDescent="0.25">
      <c r="A45" s="8" t="s">
        <v>28</v>
      </c>
      <c r="B45" s="10">
        <v>58991.05</v>
      </c>
      <c r="C45" s="2">
        <v>30</v>
      </c>
      <c r="F45" s="23" t="s">
        <v>109</v>
      </c>
      <c r="G45" s="24"/>
      <c r="H45" s="12">
        <v>17</v>
      </c>
      <c r="I45" s="12"/>
      <c r="J45" s="12"/>
    </row>
    <row r="46" spans="1:12" ht="12.95" customHeight="1" thickBot="1" x14ac:dyDescent="0.25">
      <c r="A46" s="5" t="s">
        <v>29</v>
      </c>
      <c r="B46" s="11">
        <f>SUM(B47:B49)</f>
        <v>0</v>
      </c>
      <c r="F46" s="23" t="s">
        <v>66</v>
      </c>
      <c r="G46" s="24"/>
      <c r="H46" s="12">
        <v>17</v>
      </c>
      <c r="I46" s="12"/>
      <c r="J46" s="12"/>
    </row>
    <row r="47" spans="1:12" ht="12.95" customHeight="1" thickBot="1" x14ac:dyDescent="0.25">
      <c r="A47" s="8" t="s">
        <v>30</v>
      </c>
      <c r="B47" s="10"/>
      <c r="C47" s="2">
        <v>31</v>
      </c>
      <c r="F47" s="23" t="s">
        <v>67</v>
      </c>
      <c r="G47" s="24">
        <v>313.54000000000002</v>
      </c>
      <c r="H47" s="12">
        <v>17</v>
      </c>
      <c r="I47" s="12"/>
      <c r="J47" s="12"/>
    </row>
    <row r="48" spans="1:12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18603.2</v>
      </c>
      <c r="H48" s="12">
        <v>17</v>
      </c>
      <c r="I48" s="12"/>
      <c r="J48" s="12"/>
    </row>
    <row r="49" spans="1:10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/>
      <c r="H49" s="12">
        <v>17</v>
      </c>
      <c r="I49" s="12"/>
      <c r="J49" s="12"/>
    </row>
    <row r="50" spans="1:10" ht="12.95" customHeight="1" thickBot="1" x14ac:dyDescent="0.25">
      <c r="A50" s="9" t="s">
        <v>33</v>
      </c>
      <c r="B50" s="10">
        <v>9039.7199999999993</v>
      </c>
      <c r="C50" s="2">
        <v>34</v>
      </c>
      <c r="F50" s="23" t="s">
        <v>110</v>
      </c>
      <c r="G50" s="24"/>
      <c r="H50" s="12">
        <v>17</v>
      </c>
      <c r="I50" s="12"/>
      <c r="J50" s="12"/>
    </row>
    <row r="51" spans="1:10" ht="12.95" customHeight="1" thickBot="1" x14ac:dyDescent="0.25">
      <c r="A51" s="9" t="s">
        <v>34</v>
      </c>
      <c r="B51" s="10">
        <v>908.72</v>
      </c>
      <c r="C51" s="2">
        <v>35</v>
      </c>
      <c r="F51" s="13"/>
      <c r="G51" s="37">
        <f>SUM(G39:G50)</f>
        <v>27642.390000000003</v>
      </c>
    </row>
    <row r="52" spans="1:10" ht="12.95" customHeight="1" thickBot="1" x14ac:dyDescent="0.25">
      <c r="A52" s="9" t="s">
        <v>35</v>
      </c>
      <c r="B52" s="10">
        <v>28.69</v>
      </c>
      <c r="C52" s="2">
        <v>36</v>
      </c>
    </row>
    <row r="53" spans="1:10" ht="12.95" customHeight="1" thickBot="1" x14ac:dyDescent="0.25">
      <c r="A53" s="9" t="s">
        <v>36</v>
      </c>
      <c r="B53" s="10"/>
      <c r="C53" s="2">
        <v>37</v>
      </c>
    </row>
    <row r="54" spans="1:10" ht="12.95" customHeight="1" thickBot="1" x14ac:dyDescent="0.25">
      <c r="A54" s="9" t="s">
        <v>37</v>
      </c>
      <c r="B54" s="10"/>
      <c r="C54" s="2">
        <v>38</v>
      </c>
    </row>
    <row r="55" spans="1:10" ht="12.95" customHeight="1" thickBot="1" x14ac:dyDescent="0.25">
      <c r="A55" s="9" t="s">
        <v>38</v>
      </c>
      <c r="B55" s="10"/>
      <c r="C55" s="2">
        <v>39</v>
      </c>
    </row>
    <row r="56" spans="1:10" ht="12.95" customHeight="1" thickBot="1" x14ac:dyDescent="0.25">
      <c r="A56" s="9" t="s">
        <v>39</v>
      </c>
      <c r="B56" s="10">
        <v>1433240.85</v>
      </c>
      <c r="C56" s="2">
        <v>40</v>
      </c>
    </row>
    <row r="57" spans="1:10" ht="12.95" customHeight="1" thickBot="1" x14ac:dyDescent="0.25">
      <c r="A57" s="5" t="s">
        <v>40</v>
      </c>
      <c r="B57" s="11">
        <f>B26+B37+B42+B46+B50+B51+B52+B53+B54+B55+B56</f>
        <v>3013505.15</v>
      </c>
      <c r="F57" s="12"/>
    </row>
    <row r="58" spans="1:10" ht="12.95" customHeight="1" thickBot="1" x14ac:dyDescent="0.25">
      <c r="A58" s="5" t="s">
        <v>41</v>
      </c>
      <c r="B58" s="11">
        <f>B24-B57</f>
        <v>572241.89000000013</v>
      </c>
    </row>
    <row r="59" spans="1:10" ht="12.95" customHeight="1" thickBot="1" x14ac:dyDescent="0.25">
      <c r="A59" s="5" t="s">
        <v>42</v>
      </c>
      <c r="B59" s="11">
        <f>B8+B24-B57</f>
        <v>16185459.500000009</v>
      </c>
    </row>
    <row r="60" spans="1:10" ht="12.95" customHeight="1" x14ac:dyDescent="0.2">
      <c r="A60" s="6"/>
      <c r="B60" s="17"/>
    </row>
    <row r="61" spans="1:10" ht="12.95" customHeight="1" thickBot="1" x14ac:dyDescent="0.25">
      <c r="A61" s="41" t="s">
        <v>43</v>
      </c>
      <c r="B61" s="41"/>
      <c r="C61" s="41"/>
      <c r="D61" s="41"/>
      <c r="E61" s="41"/>
    </row>
    <row r="62" spans="1:10" ht="12.95" customHeight="1" thickBot="1" x14ac:dyDescent="0.25">
      <c r="A62" s="62"/>
      <c r="B62" s="3" t="str">
        <f>B6</f>
        <v>Outubro</v>
      </c>
    </row>
    <row r="63" spans="1:10" ht="12.95" customHeight="1" thickBot="1" x14ac:dyDescent="0.25">
      <c r="A63" s="63"/>
      <c r="B63" s="3" t="s">
        <v>3</v>
      </c>
    </row>
    <row r="64" spans="1:10" ht="12.95" customHeight="1" thickBot="1" x14ac:dyDescent="0.25">
      <c r="A64" s="4" t="s">
        <v>44</v>
      </c>
      <c r="B64" s="10">
        <v>0</v>
      </c>
    </row>
    <row r="65" spans="1:7" ht="12.95" customHeight="1" thickBot="1" x14ac:dyDescent="0.25">
      <c r="A65" s="4" t="s">
        <v>45</v>
      </c>
      <c r="B65" s="10">
        <f>4327515.49+7731386.74</f>
        <v>12058902.23</v>
      </c>
    </row>
    <row r="66" spans="1:7" ht="12.95" customHeight="1" thickBot="1" x14ac:dyDescent="0.25">
      <c r="A66" s="4" t="s">
        <v>46</v>
      </c>
      <c r="B66" s="10">
        <v>183.96</v>
      </c>
    </row>
    <row r="67" spans="1:7" ht="12.95" customHeight="1" thickBot="1" x14ac:dyDescent="0.25">
      <c r="A67" s="5" t="s">
        <v>47</v>
      </c>
      <c r="B67" s="11">
        <f>SUM(B64:B66)</f>
        <v>12059086.190000001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41" t="s">
        <v>48</v>
      </c>
      <c r="B69" s="41"/>
      <c r="C69" s="41"/>
      <c r="D69" s="41"/>
      <c r="E69" s="41"/>
    </row>
    <row r="70" spans="1:7" ht="12.95" customHeight="1" thickBot="1" x14ac:dyDescent="0.25">
      <c r="A70" s="62"/>
      <c r="B70" s="3" t="str">
        <f>B62</f>
        <v>Outubro</v>
      </c>
      <c r="G70" s="15"/>
    </row>
    <row r="71" spans="1:7" ht="12.95" customHeight="1" thickBot="1" x14ac:dyDescent="0.25">
      <c r="A71" s="63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+B67</f>
        <v>12059086.190000001</v>
      </c>
      <c r="C73" s="25"/>
    </row>
    <row r="74" spans="1:7" ht="12.95" customHeight="1" thickBot="1" x14ac:dyDescent="0.25">
      <c r="A74" s="5" t="s">
        <v>47</v>
      </c>
      <c r="B74" s="11">
        <f>SUM(B72:B73)</f>
        <v>12059086.190000001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41" t="s">
        <v>51</v>
      </c>
      <c r="B76" s="41"/>
      <c r="C76" s="41"/>
      <c r="D76" s="41"/>
      <c r="E76" s="41"/>
      <c r="F76" s="50"/>
      <c r="G76" s="17"/>
    </row>
    <row r="77" spans="1:7" ht="12.95" customHeight="1" thickBot="1" x14ac:dyDescent="0.25">
      <c r="A77" s="4"/>
      <c r="B77" s="3" t="s">
        <v>52</v>
      </c>
      <c r="C77" s="64" t="s">
        <v>194</v>
      </c>
      <c r="D77" s="64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Outubro</v>
      </c>
      <c r="C78" s="64"/>
      <c r="D78" s="64"/>
      <c r="E78" s="50"/>
      <c r="F78" s="50"/>
    </row>
    <row r="79" spans="1:7" ht="12.95" customHeight="1" x14ac:dyDescent="0.2">
      <c r="A79" s="6"/>
      <c r="C79" s="64"/>
      <c r="D79" s="64"/>
      <c r="E79" s="50"/>
      <c r="F79" s="35"/>
    </row>
    <row r="80" spans="1:7" ht="12.95" customHeight="1" x14ac:dyDescent="0.2">
      <c r="C80" s="64"/>
      <c r="D80" s="64"/>
      <c r="E80" s="35"/>
    </row>
    <row r="81" spans="3:5" ht="12.95" customHeight="1" x14ac:dyDescent="0.2">
      <c r="C81" s="35"/>
      <c r="D81" s="35"/>
      <c r="E81" s="17"/>
    </row>
    <row r="82" spans="3:5" ht="12.95" customHeight="1" x14ac:dyDescent="0.2">
      <c r="C82" s="35"/>
      <c r="D82" s="35"/>
      <c r="E82" s="17"/>
    </row>
    <row r="83" spans="3:5" ht="12.95" customHeight="1" x14ac:dyDescent="0.2">
      <c r="D83" s="17"/>
      <c r="E83" s="17"/>
    </row>
    <row r="84" spans="3:5" ht="12.95" customHeight="1" x14ac:dyDescent="0.2">
      <c r="E84" s="17"/>
    </row>
  </sheetData>
  <mergeCells count="11">
    <mergeCell ref="K8:L8"/>
    <mergeCell ref="A1:C1"/>
    <mergeCell ref="A2:C2"/>
    <mergeCell ref="A3:B3"/>
    <mergeCell ref="A6:A7"/>
    <mergeCell ref="C6:C7"/>
    <mergeCell ref="K13:L13"/>
    <mergeCell ref="F32:H32"/>
    <mergeCell ref="A62:A63"/>
    <mergeCell ref="A70:A71"/>
    <mergeCell ref="C77:D80"/>
  </mergeCells>
  <pageMargins left="0.78740157480314965" right="0.78740157480314965" top="0.98425196850393704" bottom="0.98425196850393704" header="0.51181102362204722" footer="0.51181102362204722"/>
  <pageSetup paperSize="9" scale="4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F5554-D595-4E89-AB36-DC7CB2DEECD9}">
  <sheetPr>
    <pageSetUpPr fitToPage="1"/>
  </sheetPr>
  <dimension ref="A1:K84"/>
  <sheetViews>
    <sheetView showGridLines="0" topLeftCell="A62" zoomScaleNormal="10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3.28515625" style="2" bestFit="1" customWidth="1"/>
    <col min="4" max="4" width="37.14062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4.28515625" style="2" customWidth="1"/>
    <col min="10" max="10" width="23.28515625" style="2" bestFit="1" customWidth="1"/>
    <col min="11" max="11" width="12.140625" style="2" bestFit="1" customWidth="1"/>
    <col min="12" max="12" width="12.5703125" style="2" bestFit="1" customWidth="1"/>
    <col min="13" max="16384" width="9.140625" style="2"/>
  </cols>
  <sheetData>
    <row r="1" spans="1:11" ht="12.95" customHeight="1" x14ac:dyDescent="0.2">
      <c r="A1" s="60" t="s">
        <v>149</v>
      </c>
      <c r="B1" s="60"/>
      <c r="C1" s="60"/>
      <c r="D1" s="6"/>
      <c r="E1" s="6"/>
    </row>
    <row r="2" spans="1:11" ht="12.95" customHeight="1" x14ac:dyDescent="0.2">
      <c r="A2" s="61" t="s">
        <v>0</v>
      </c>
      <c r="B2" s="61"/>
      <c r="C2" s="61"/>
      <c r="D2" s="42"/>
      <c r="E2" s="42"/>
    </row>
    <row r="3" spans="1:11" ht="12.95" customHeight="1" thickBot="1" x14ac:dyDescent="0.25">
      <c r="A3" s="61" t="s">
        <v>195</v>
      </c>
      <c r="B3" s="61"/>
      <c r="C3" s="42"/>
      <c r="D3" s="42"/>
      <c r="E3" s="42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2"/>
      <c r="B6" s="3" t="s">
        <v>126</v>
      </c>
      <c r="C6" s="66" t="s">
        <v>54</v>
      </c>
    </row>
    <row r="7" spans="1:11" ht="12.95" customHeight="1" thickBot="1" x14ac:dyDescent="0.25">
      <c r="A7" s="63"/>
      <c r="B7" s="3" t="s">
        <v>3</v>
      </c>
      <c r="C7" s="66"/>
    </row>
    <row r="8" spans="1:11" ht="12.95" customHeight="1" thickBot="1" x14ac:dyDescent="0.25">
      <c r="A8" s="4" t="s">
        <v>4</v>
      </c>
      <c r="B8" s="11">
        <f>Outubro!B59</f>
        <v>16185459.500000009</v>
      </c>
      <c r="F8" s="18" t="s">
        <v>107</v>
      </c>
      <c r="G8" s="21" t="s">
        <v>196</v>
      </c>
      <c r="H8" s="21" t="s">
        <v>54</v>
      </c>
      <c r="I8" s="31"/>
      <c r="J8" s="58" t="s">
        <v>101</v>
      </c>
      <c r="K8" s="58"/>
    </row>
    <row r="9" spans="1:11" ht="12.95" customHeight="1" thickBot="1" x14ac:dyDescent="0.25">
      <c r="A9" s="7" t="s">
        <v>5</v>
      </c>
      <c r="B9" s="14"/>
      <c r="F9" s="23" t="s">
        <v>130</v>
      </c>
      <c r="G9" s="16"/>
      <c r="H9" s="44">
        <v>1</v>
      </c>
      <c r="I9" s="54"/>
      <c r="J9" s="18" t="s">
        <v>70</v>
      </c>
      <c r="K9" s="26" t="s">
        <v>197</v>
      </c>
    </row>
    <row r="10" spans="1:11" ht="12.95" customHeight="1" thickBot="1" x14ac:dyDescent="0.25">
      <c r="A10" s="4" t="s">
        <v>6</v>
      </c>
      <c r="B10" s="10"/>
      <c r="C10" s="2">
        <v>1</v>
      </c>
      <c r="F10" s="23" t="s">
        <v>72</v>
      </c>
      <c r="G10" s="16">
        <v>97750.24</v>
      </c>
      <c r="H10" s="44">
        <v>7</v>
      </c>
      <c r="I10" s="54"/>
      <c r="J10" s="18" t="s">
        <v>116</v>
      </c>
      <c r="K10" s="26" t="s">
        <v>198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147</v>
      </c>
      <c r="G11" s="16">
        <v>5494.2199999999993</v>
      </c>
      <c r="H11" s="44">
        <v>13</v>
      </c>
      <c r="I11" s="54"/>
      <c r="J11" s="18" t="s">
        <v>71</v>
      </c>
      <c r="K11" s="26" t="s">
        <v>199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73</v>
      </c>
      <c r="G12" s="16">
        <v>-435760.13</v>
      </c>
      <c r="H12" s="44">
        <v>15</v>
      </c>
      <c r="I12" s="54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74</v>
      </c>
      <c r="G13" s="16">
        <v>-169684.82</v>
      </c>
      <c r="H13" s="44">
        <v>16</v>
      </c>
      <c r="I13" s="54"/>
      <c r="J13" s="58" t="s">
        <v>102</v>
      </c>
      <c r="K13" s="58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75</v>
      </c>
      <c r="G14" s="16">
        <v>-148005.25</v>
      </c>
      <c r="H14" s="44">
        <v>18</v>
      </c>
      <c r="I14" s="54"/>
      <c r="J14" s="18" t="s">
        <v>114</v>
      </c>
      <c r="K14" s="26">
        <v>1264053.76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86</v>
      </c>
      <c r="G15" s="16">
        <v>-6625.5700000000006</v>
      </c>
      <c r="H15" s="44">
        <v>19</v>
      </c>
      <c r="I15" s="54"/>
      <c r="J15" s="18" t="s">
        <v>145</v>
      </c>
      <c r="K15" s="26">
        <v>7809247.8499999996</v>
      </c>
    </row>
    <row r="16" spans="1:11" ht="12.95" customHeight="1" thickBot="1" x14ac:dyDescent="0.25">
      <c r="A16" s="4" t="s">
        <v>7</v>
      </c>
      <c r="B16" s="10">
        <v>97750.24</v>
      </c>
      <c r="C16" s="2">
        <v>7</v>
      </c>
      <c r="F16" s="23" t="s">
        <v>76</v>
      </c>
      <c r="G16" s="16">
        <v>-151480.02000000002</v>
      </c>
      <c r="H16" s="44">
        <v>20</v>
      </c>
      <c r="I16" s="54"/>
      <c r="J16" s="18" t="s">
        <v>106</v>
      </c>
      <c r="K16" s="26">
        <v>224.73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77</v>
      </c>
      <c r="G17" s="16">
        <v>-33359.040000000001</v>
      </c>
      <c r="H17" s="44">
        <v>21</v>
      </c>
      <c r="I17" s="54"/>
      <c r="J17" s="30"/>
      <c r="K17" s="26">
        <f>SUM(K14:K16)</f>
        <v>9073526.3399999999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78</v>
      </c>
      <c r="G18" s="16">
        <v>-27171.96</v>
      </c>
      <c r="H18" s="44">
        <v>25</v>
      </c>
      <c r="I18" s="54"/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79</v>
      </c>
      <c r="G19" s="16">
        <v>-211638.79000000004</v>
      </c>
      <c r="H19" s="44">
        <v>27</v>
      </c>
      <c r="I19" s="54"/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80</v>
      </c>
      <c r="G20" s="16">
        <v>-473507.76000000018</v>
      </c>
      <c r="H20" s="44">
        <v>28</v>
      </c>
      <c r="I20" s="54"/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81</v>
      </c>
      <c r="G21" s="16">
        <v>-43901.58</v>
      </c>
      <c r="H21" s="44">
        <v>30</v>
      </c>
      <c r="I21" s="54"/>
    </row>
    <row r="22" spans="1:11" ht="12.95" customHeight="1" thickBot="1" x14ac:dyDescent="0.25">
      <c r="A22" s="4" t="s">
        <v>97</v>
      </c>
      <c r="B22" s="10">
        <v>5494.22</v>
      </c>
      <c r="C22" s="2">
        <v>13</v>
      </c>
      <c r="F22" s="23" t="s">
        <v>82</v>
      </c>
      <c r="G22" s="16">
        <v>-8772.32</v>
      </c>
      <c r="H22" s="44">
        <v>34</v>
      </c>
      <c r="I22" s="54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83</v>
      </c>
      <c r="G23" s="16">
        <v>-908.72</v>
      </c>
      <c r="H23" s="44">
        <v>35</v>
      </c>
      <c r="I23" s="54"/>
    </row>
    <row r="24" spans="1:11" ht="12.95" customHeight="1" thickBot="1" x14ac:dyDescent="0.25">
      <c r="A24" s="5" t="s">
        <v>9</v>
      </c>
      <c r="B24" s="11">
        <f>SUM(B10:B23)</f>
        <v>103244.46</v>
      </c>
      <c r="F24" s="23" t="s">
        <v>84</v>
      </c>
      <c r="G24" s="16">
        <v>-24.570000000000007</v>
      </c>
      <c r="H24" s="44">
        <v>36</v>
      </c>
      <c r="I24" s="54"/>
    </row>
    <row r="25" spans="1:11" ht="12.95" customHeight="1" thickBot="1" x14ac:dyDescent="0.25">
      <c r="A25" s="7" t="s">
        <v>10</v>
      </c>
      <c r="B25" s="14"/>
      <c r="F25" s="23" t="s">
        <v>85</v>
      </c>
      <c r="G25" s="16">
        <v>-1377963.7799999998</v>
      </c>
      <c r="H25" s="44">
        <v>40</v>
      </c>
      <c r="I25" s="32"/>
    </row>
    <row r="26" spans="1:11" ht="12.95" customHeight="1" thickBot="1" x14ac:dyDescent="0.25">
      <c r="A26" s="5" t="s">
        <v>11</v>
      </c>
      <c r="B26" s="11">
        <f>SUM(B27:B36)</f>
        <v>944914.83000000007</v>
      </c>
      <c r="F26" s="19" t="s">
        <v>56</v>
      </c>
      <c r="G26" s="20">
        <f>SUBTOTAL(9,G9:G25)</f>
        <v>-2985559.8500000006</v>
      </c>
      <c r="H26" s="20"/>
      <c r="I26" s="12"/>
    </row>
    <row r="27" spans="1:11" ht="12.95" customHeight="1" thickBot="1" x14ac:dyDescent="0.25">
      <c r="A27" s="8" t="s">
        <v>12</v>
      </c>
      <c r="B27" s="10">
        <f>435760.13-B29</f>
        <v>414164.22000000003</v>
      </c>
      <c r="C27" s="2">
        <v>15</v>
      </c>
    </row>
    <row r="28" spans="1:11" ht="12.95" customHeight="1" thickBot="1" x14ac:dyDescent="0.25">
      <c r="A28" s="8" t="s">
        <v>13</v>
      </c>
      <c r="B28" s="10">
        <v>169684.82</v>
      </c>
      <c r="C28" s="2">
        <v>16</v>
      </c>
    </row>
    <row r="29" spans="1:11" ht="12.95" customHeight="1" thickBot="1" x14ac:dyDescent="0.25">
      <c r="A29" s="8" t="s">
        <v>14</v>
      </c>
      <c r="B29" s="10">
        <v>21595.91</v>
      </c>
      <c r="C29" s="2">
        <v>17</v>
      </c>
    </row>
    <row r="30" spans="1:11" ht="12.95" customHeight="1" thickBot="1" x14ac:dyDescent="0.25">
      <c r="A30" s="8" t="s">
        <v>15</v>
      </c>
      <c r="B30" s="10">
        <f>148005.25-8955.73</f>
        <v>139049.51999999999</v>
      </c>
      <c r="C30" s="2">
        <v>18</v>
      </c>
    </row>
    <row r="31" spans="1:11" ht="12.95" customHeight="1" thickBot="1" x14ac:dyDescent="0.25">
      <c r="A31" s="8" t="s">
        <v>16</v>
      </c>
      <c r="B31" s="10">
        <v>6625.57</v>
      </c>
      <c r="C31" s="2">
        <v>19</v>
      </c>
    </row>
    <row r="32" spans="1:11" ht="12.95" customHeight="1" thickBot="1" x14ac:dyDescent="0.25">
      <c r="A32" s="8" t="s">
        <v>17</v>
      </c>
      <c r="B32" s="10">
        <f>151480.02+37.35</f>
        <v>151517.37</v>
      </c>
      <c r="C32" s="2">
        <v>20</v>
      </c>
      <c r="F32" s="59" t="s">
        <v>200</v>
      </c>
      <c r="G32" s="59"/>
      <c r="H32" s="59"/>
      <c r="I32" s="51"/>
    </row>
    <row r="33" spans="1:11" ht="12.95" customHeight="1" thickBot="1" x14ac:dyDescent="0.25">
      <c r="A33" s="8" t="s">
        <v>18</v>
      </c>
      <c r="B33" s="10">
        <f>33359.04+3232.17+5686.21</f>
        <v>42277.42</v>
      </c>
      <c r="C33" s="2">
        <v>21</v>
      </c>
      <c r="F33" s="12" t="s">
        <v>57</v>
      </c>
      <c r="G33" s="40">
        <v>3232.17</v>
      </c>
      <c r="H33" s="12">
        <v>21</v>
      </c>
      <c r="I33" s="12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5686.21</v>
      </c>
      <c r="H34" s="12">
        <v>21</v>
      </c>
      <c r="I34" s="12"/>
    </row>
    <row r="35" spans="1:11" ht="12.95" customHeight="1" thickBot="1" x14ac:dyDescent="0.25">
      <c r="A35" s="8" t="s">
        <v>99</v>
      </c>
      <c r="B35" s="10"/>
      <c r="C35" s="2">
        <v>23</v>
      </c>
      <c r="F35" s="12" t="s">
        <v>59</v>
      </c>
      <c r="G35" s="24"/>
      <c r="H35" s="12">
        <v>20</v>
      </c>
      <c r="I35" s="12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>
        <v>37.35</v>
      </c>
      <c r="H36" s="12">
        <v>20</v>
      </c>
      <c r="I36" s="12"/>
    </row>
    <row r="37" spans="1:11" ht="12.95" customHeight="1" thickBot="1" x14ac:dyDescent="0.25">
      <c r="A37" s="5" t="s">
        <v>20</v>
      </c>
      <c r="B37" s="11">
        <f>B38+B41</f>
        <v>238810.75</v>
      </c>
      <c r="F37" s="12"/>
      <c r="G37" s="38">
        <f>SUM(G33:G36)</f>
        <v>8955.7300000000014</v>
      </c>
      <c r="H37" s="12"/>
      <c r="I37" s="12"/>
    </row>
    <row r="38" spans="1:11" ht="12.95" customHeight="1" thickBot="1" x14ac:dyDescent="0.25">
      <c r="A38" s="5" t="s">
        <v>21</v>
      </c>
      <c r="B38" s="11">
        <f>SUM(B39:B40)</f>
        <v>27171.96</v>
      </c>
      <c r="F38" s="12"/>
      <c r="G38" s="12"/>
      <c r="H38" s="12"/>
      <c r="I38" s="12"/>
    </row>
    <row r="39" spans="1:11" ht="12.95" customHeight="1" thickBot="1" x14ac:dyDescent="0.25">
      <c r="A39" s="8" t="s">
        <v>22</v>
      </c>
      <c r="B39" s="10">
        <v>27171.96</v>
      </c>
      <c r="C39" s="2">
        <v>25</v>
      </c>
      <c r="F39" s="23" t="s">
        <v>61</v>
      </c>
      <c r="G39" s="24">
        <v>2787.25</v>
      </c>
      <c r="H39" s="12">
        <v>17</v>
      </c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>
        <v>0</v>
      </c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211638.79</v>
      </c>
      <c r="C41" s="2">
        <v>27</v>
      </c>
      <c r="F41" s="23" t="s">
        <v>63</v>
      </c>
      <c r="G41" s="24">
        <v>1316.66</v>
      </c>
      <c r="H41" s="12">
        <v>17</v>
      </c>
      <c r="I41" s="12"/>
      <c r="J41" s="17"/>
    </row>
    <row r="42" spans="1:11" ht="12.95" customHeight="1" thickBot="1" x14ac:dyDescent="0.25">
      <c r="A42" s="5" t="s">
        <v>25</v>
      </c>
      <c r="B42" s="11">
        <f>SUM(B43:B45)</f>
        <v>517409.34</v>
      </c>
      <c r="F42" s="23" t="s">
        <v>64</v>
      </c>
      <c r="G42" s="24">
        <v>713.56</v>
      </c>
      <c r="H42" s="12">
        <v>17</v>
      </c>
      <c r="I42" s="12"/>
    </row>
    <row r="43" spans="1:11" ht="12.95" customHeight="1" thickBot="1" x14ac:dyDescent="0.25">
      <c r="A43" s="8" t="s">
        <v>26</v>
      </c>
      <c r="B43" s="10">
        <v>473507.76</v>
      </c>
      <c r="C43" s="2">
        <v>28</v>
      </c>
      <c r="F43" s="23" t="s">
        <v>65</v>
      </c>
      <c r="G43" s="24"/>
      <c r="H43" s="12">
        <v>17</v>
      </c>
      <c r="I43" s="12"/>
      <c r="K43" s="17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12"/>
    </row>
    <row r="45" spans="1:11" ht="12.95" customHeight="1" thickBot="1" x14ac:dyDescent="0.25">
      <c r="A45" s="8" t="s">
        <v>28</v>
      </c>
      <c r="B45" s="10">
        <v>43901.58</v>
      </c>
      <c r="C45" s="2">
        <v>30</v>
      </c>
      <c r="F45" s="23" t="s">
        <v>109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0</v>
      </c>
      <c r="F46" s="23" t="s">
        <v>66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/>
      <c r="C47" s="2">
        <v>31</v>
      </c>
      <c r="F47" s="23" t="s">
        <v>67</v>
      </c>
      <c r="G47" s="24">
        <v>8718.5300000000007</v>
      </c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7938.73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>
        <v>121.18</v>
      </c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8772.32</v>
      </c>
      <c r="C50" s="2">
        <v>34</v>
      </c>
      <c r="F50" s="23" t="s">
        <v>110</v>
      </c>
      <c r="G50" s="24">
        <v>0</v>
      </c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908.72</v>
      </c>
      <c r="C51" s="2">
        <v>35</v>
      </c>
      <c r="F51" s="13"/>
      <c r="G51" s="37">
        <f>SUM(G39:G50)</f>
        <v>21595.91</v>
      </c>
    </row>
    <row r="52" spans="1:9" ht="12.95" customHeight="1" thickBot="1" x14ac:dyDescent="0.25">
      <c r="A52" s="9" t="s">
        <v>35</v>
      </c>
      <c r="B52" s="10">
        <v>24.57</v>
      </c>
      <c r="C52" s="2">
        <v>36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</row>
    <row r="56" spans="1:9" ht="12.95" customHeight="1" thickBot="1" x14ac:dyDescent="0.25">
      <c r="A56" s="9" t="s">
        <v>39</v>
      </c>
      <c r="B56" s="10">
        <v>1377963.78</v>
      </c>
      <c r="C56" s="2">
        <v>40</v>
      </c>
    </row>
    <row r="57" spans="1:9" ht="12.95" customHeight="1" thickBot="1" x14ac:dyDescent="0.25">
      <c r="A57" s="5" t="s">
        <v>40</v>
      </c>
      <c r="B57" s="11">
        <f>B26+B37+B42+B46+B50+B51+B52+B53+B54+B55+B56</f>
        <v>3088804.3100000005</v>
      </c>
      <c r="F57" s="12"/>
    </row>
    <row r="58" spans="1:9" ht="12.95" customHeight="1" thickBot="1" x14ac:dyDescent="0.25">
      <c r="A58" s="5" t="s">
        <v>41</v>
      </c>
      <c r="B58" s="11">
        <f>B24-B57</f>
        <v>-2985559.8500000006</v>
      </c>
    </row>
    <row r="59" spans="1:9" ht="12.95" customHeight="1" thickBot="1" x14ac:dyDescent="0.25">
      <c r="A59" s="5" t="s">
        <v>42</v>
      </c>
      <c r="B59" s="11">
        <f>B8+B24-B57</f>
        <v>13199899.65000001</v>
      </c>
    </row>
    <row r="60" spans="1:9" ht="12.95" customHeight="1" x14ac:dyDescent="0.2">
      <c r="A60" s="6"/>
      <c r="B60" s="17"/>
    </row>
    <row r="61" spans="1:9" ht="12.95" customHeight="1" thickBot="1" x14ac:dyDescent="0.25">
      <c r="A61" s="41" t="s">
        <v>43</v>
      </c>
      <c r="B61" s="41"/>
      <c r="C61" s="41"/>
      <c r="D61" s="41"/>
      <c r="E61" s="41"/>
    </row>
    <row r="62" spans="1:9" ht="12.95" customHeight="1" thickBot="1" x14ac:dyDescent="0.25">
      <c r="A62" s="62"/>
      <c r="B62" s="3" t="str">
        <f>B6</f>
        <v>Novembro</v>
      </c>
    </row>
    <row r="63" spans="1:9" ht="12.95" customHeight="1" thickBot="1" x14ac:dyDescent="0.25">
      <c r="A63" s="63"/>
      <c r="B63" s="3" t="s">
        <v>3</v>
      </c>
    </row>
    <row r="64" spans="1:9" ht="12.95" customHeight="1" thickBot="1" x14ac:dyDescent="0.25">
      <c r="A64" s="4" t="s">
        <v>44</v>
      </c>
      <c r="B64" s="10">
        <v>0</v>
      </c>
    </row>
    <row r="65" spans="1:7" ht="12.95" customHeight="1" thickBot="1" x14ac:dyDescent="0.25">
      <c r="A65" s="4" t="s">
        <v>45</v>
      </c>
      <c r="B65" s="10">
        <v>9073301.6099999994</v>
      </c>
    </row>
    <row r="66" spans="1:7" ht="12.95" customHeight="1" thickBot="1" x14ac:dyDescent="0.25">
      <c r="A66" s="4" t="s">
        <v>46</v>
      </c>
      <c r="B66" s="10">
        <v>224.73</v>
      </c>
    </row>
    <row r="67" spans="1:7" ht="12.95" customHeight="1" thickBot="1" x14ac:dyDescent="0.25">
      <c r="A67" s="5" t="s">
        <v>47</v>
      </c>
      <c r="B67" s="11">
        <f>SUM(B64:B66)</f>
        <v>9073526.3399999999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41" t="s">
        <v>48</v>
      </c>
      <c r="B69" s="41"/>
      <c r="C69" s="41"/>
      <c r="D69" s="41"/>
      <c r="E69" s="41"/>
    </row>
    <row r="70" spans="1:7" ht="12.95" customHeight="1" thickBot="1" x14ac:dyDescent="0.25">
      <c r="A70" s="62"/>
      <c r="B70" s="3" t="str">
        <f>B62</f>
        <v>Novembro</v>
      </c>
      <c r="G70" s="15"/>
    </row>
    <row r="71" spans="1:7" ht="12.95" customHeight="1" thickBot="1" x14ac:dyDescent="0.25">
      <c r="A71" s="63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+B67</f>
        <v>9073526.3399999999</v>
      </c>
      <c r="C73" s="25"/>
    </row>
    <row r="74" spans="1:7" ht="12.95" customHeight="1" thickBot="1" x14ac:dyDescent="0.25">
      <c r="A74" s="5" t="s">
        <v>47</v>
      </c>
      <c r="B74" s="11">
        <f>SUM(B72:B73)</f>
        <v>9073526.3399999999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41" t="s">
        <v>51</v>
      </c>
      <c r="B76" s="41"/>
      <c r="C76" s="41"/>
      <c r="D76" s="41"/>
      <c r="E76" s="41"/>
      <c r="F76" s="50"/>
      <c r="G76" s="17"/>
    </row>
    <row r="77" spans="1:7" ht="12.95" customHeight="1" thickBot="1" x14ac:dyDescent="0.25">
      <c r="A77" s="4"/>
      <c r="B77" s="3" t="s">
        <v>52</v>
      </c>
      <c r="C77" s="64" t="s">
        <v>202</v>
      </c>
      <c r="D77" s="64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Novembro</v>
      </c>
      <c r="C78" s="64"/>
      <c r="D78" s="64"/>
      <c r="E78" s="50"/>
      <c r="F78" s="50"/>
    </row>
    <row r="79" spans="1:7" ht="12.95" customHeight="1" x14ac:dyDescent="0.2">
      <c r="A79" s="6"/>
      <c r="C79" s="64"/>
      <c r="D79" s="64"/>
      <c r="E79" s="50"/>
      <c r="F79" s="35"/>
    </row>
    <row r="80" spans="1:7" ht="12.95" customHeight="1" x14ac:dyDescent="0.2">
      <c r="C80" s="64"/>
      <c r="D80" s="64"/>
      <c r="E80" s="35"/>
    </row>
    <row r="81" spans="3:5" ht="12.95" customHeight="1" x14ac:dyDescent="0.2">
      <c r="C81" s="35"/>
      <c r="D81" s="49"/>
      <c r="E81" s="17"/>
    </row>
    <row r="82" spans="3:5" ht="12.95" customHeight="1" x14ac:dyDescent="0.2">
      <c r="C82" s="35"/>
      <c r="D82" s="35"/>
      <c r="E82" s="17"/>
    </row>
    <row r="83" spans="3:5" ht="12.95" customHeight="1" x14ac:dyDescent="0.2">
      <c r="D83" s="17"/>
      <c r="E83" s="17"/>
    </row>
    <row r="84" spans="3:5" ht="12.95" customHeight="1" x14ac:dyDescent="0.2">
      <c r="D84" s="2" t="s">
        <v>201</v>
      </c>
      <c r="E84" s="17"/>
    </row>
  </sheetData>
  <mergeCells count="11">
    <mergeCell ref="J13:K13"/>
    <mergeCell ref="F32:H32"/>
    <mergeCell ref="A62:A63"/>
    <mergeCell ref="A70:A71"/>
    <mergeCell ref="C77:D80"/>
    <mergeCell ref="J8:K8"/>
    <mergeCell ref="A1:C1"/>
    <mergeCell ref="A2:C2"/>
    <mergeCell ref="A3:B3"/>
    <mergeCell ref="A6:A7"/>
    <mergeCell ref="C6:C7"/>
  </mergeCells>
  <pageMargins left="0.78740157480314965" right="0.78740157480314965" top="0.98425196850393704" bottom="0.98425196850393704" header="0.51181102362204722" footer="0.51181102362204722"/>
  <pageSetup paperSize="9" scale="4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B7DB5-3009-4F40-BA66-4B40AEB3443C}">
  <sheetPr>
    <tabColor rgb="FF00B050"/>
    <pageSetUpPr fitToPage="1"/>
  </sheetPr>
  <dimension ref="A1:L84"/>
  <sheetViews>
    <sheetView showGridLines="0" zoomScaleNormal="10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9.5703125" style="2" bestFit="1" customWidth="1"/>
    <col min="4" max="4" width="37.14062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10.85546875" style="45" bestFit="1" customWidth="1"/>
    <col min="10" max="10" width="4.28515625" style="2" customWidth="1"/>
    <col min="11" max="11" width="23.28515625" style="2" bestFit="1" customWidth="1"/>
    <col min="12" max="12" width="12.140625" style="2" bestFit="1" customWidth="1"/>
    <col min="13" max="13" width="12.5703125" style="2" bestFit="1" customWidth="1"/>
    <col min="14" max="16384" width="9.140625" style="2"/>
  </cols>
  <sheetData>
    <row r="1" spans="1:12" ht="12.95" customHeight="1" x14ac:dyDescent="0.2">
      <c r="A1" s="60" t="s">
        <v>149</v>
      </c>
      <c r="B1" s="60"/>
      <c r="C1" s="60"/>
      <c r="D1" s="6"/>
      <c r="E1" s="6"/>
    </row>
    <row r="2" spans="1:12" ht="12.95" customHeight="1" x14ac:dyDescent="0.2">
      <c r="A2" s="61" t="s">
        <v>0</v>
      </c>
      <c r="B2" s="61"/>
      <c r="C2" s="61"/>
      <c r="D2" s="42"/>
      <c r="E2" s="42"/>
    </row>
    <row r="3" spans="1:12" ht="12.95" customHeight="1" thickBot="1" x14ac:dyDescent="0.25">
      <c r="A3" s="61" t="s">
        <v>203</v>
      </c>
      <c r="B3" s="61"/>
      <c r="C3" s="42"/>
      <c r="D3" s="42"/>
      <c r="E3" s="42"/>
    </row>
    <row r="4" spans="1:12" ht="12.95" customHeight="1" thickBot="1" x14ac:dyDescent="0.25">
      <c r="A4" s="1" t="s">
        <v>1</v>
      </c>
    </row>
    <row r="5" spans="1:12" ht="12.95" customHeight="1" thickBot="1" x14ac:dyDescent="0.25"/>
    <row r="6" spans="1:12" ht="12.95" customHeight="1" thickBot="1" x14ac:dyDescent="0.25">
      <c r="A6" s="62"/>
      <c r="B6" s="3" t="s">
        <v>127</v>
      </c>
      <c r="C6" s="66" t="s">
        <v>54</v>
      </c>
    </row>
    <row r="7" spans="1:12" ht="12.95" customHeight="1" thickBot="1" x14ac:dyDescent="0.25">
      <c r="A7" s="63"/>
      <c r="B7" s="3" t="s">
        <v>3</v>
      </c>
      <c r="C7" s="66"/>
    </row>
    <row r="8" spans="1:12" ht="12.95" customHeight="1" thickBot="1" x14ac:dyDescent="0.25">
      <c r="A8" s="4" t="s">
        <v>4</v>
      </c>
      <c r="B8" s="11">
        <f>Novembro!B59</f>
        <v>13199899.65000001</v>
      </c>
      <c r="F8" s="18" t="s">
        <v>107</v>
      </c>
      <c r="G8" s="21" t="s">
        <v>204</v>
      </c>
      <c r="H8" s="21" t="s">
        <v>54</v>
      </c>
      <c r="I8" s="31"/>
      <c r="J8" s="31"/>
      <c r="K8" s="58" t="s">
        <v>101</v>
      </c>
      <c r="L8" s="58"/>
    </row>
    <row r="9" spans="1:12" ht="12.95" customHeight="1" thickBot="1" x14ac:dyDescent="0.25">
      <c r="A9" s="7" t="s">
        <v>5</v>
      </c>
      <c r="B9" s="14"/>
      <c r="F9" s="23" t="s">
        <v>130</v>
      </c>
      <c r="G9" s="16">
        <v>4315344.9300000006</v>
      </c>
      <c r="H9" s="44">
        <v>1</v>
      </c>
      <c r="I9" s="46"/>
      <c r="J9" s="54"/>
      <c r="K9" s="18" t="s">
        <v>70</v>
      </c>
      <c r="L9" s="26" t="s">
        <v>206</v>
      </c>
    </row>
    <row r="10" spans="1:12" ht="12.95" customHeight="1" thickBot="1" x14ac:dyDescent="0.25">
      <c r="A10" s="4" t="s">
        <v>6</v>
      </c>
      <c r="B10" s="10">
        <v>4315344.93</v>
      </c>
      <c r="C10" s="2">
        <v>1</v>
      </c>
      <c r="F10" s="23" t="s">
        <v>72</v>
      </c>
      <c r="G10" s="16">
        <v>95995.89</v>
      </c>
      <c r="H10" s="44">
        <v>7</v>
      </c>
      <c r="I10" s="46"/>
      <c r="J10" s="54"/>
      <c r="K10" s="18" t="s">
        <v>116</v>
      </c>
      <c r="L10" s="26" t="s">
        <v>207</v>
      </c>
    </row>
    <row r="11" spans="1:12" ht="12.95" customHeight="1" thickBot="1" x14ac:dyDescent="0.25">
      <c r="A11" s="4" t="s">
        <v>88</v>
      </c>
      <c r="B11" s="10"/>
      <c r="C11" s="2">
        <v>2</v>
      </c>
      <c r="F11" s="23" t="s">
        <v>147</v>
      </c>
      <c r="G11" s="16">
        <v>285.94</v>
      </c>
      <c r="H11" s="44">
        <v>13</v>
      </c>
      <c r="I11" s="46"/>
      <c r="J11" s="54"/>
      <c r="K11" s="18" t="s">
        <v>71</v>
      </c>
      <c r="L11" s="26" t="s">
        <v>208</v>
      </c>
    </row>
    <row r="12" spans="1:12" ht="12.95" customHeight="1" thickBot="1" x14ac:dyDescent="0.25">
      <c r="A12" s="4" t="s">
        <v>89</v>
      </c>
      <c r="B12" s="10"/>
      <c r="C12" s="2">
        <v>3</v>
      </c>
      <c r="F12" s="23" t="s">
        <v>73</v>
      </c>
      <c r="G12" s="16">
        <v>-356913.95</v>
      </c>
      <c r="H12" s="44">
        <v>15</v>
      </c>
      <c r="I12" s="46"/>
      <c r="J12" s="54"/>
      <c r="K12" s="29"/>
      <c r="L12" s="29"/>
    </row>
    <row r="13" spans="1:12" ht="12.95" customHeight="1" thickBot="1" x14ac:dyDescent="0.25">
      <c r="A13" s="4" t="s">
        <v>90</v>
      </c>
      <c r="B13" s="10"/>
      <c r="C13" s="2">
        <v>4</v>
      </c>
      <c r="F13" s="23" t="s">
        <v>74</v>
      </c>
      <c r="G13" s="16">
        <v>-177188.75</v>
      </c>
      <c r="H13" s="44">
        <v>16</v>
      </c>
      <c r="I13" s="46"/>
      <c r="J13" s="54"/>
      <c r="K13" s="58" t="s">
        <v>102</v>
      </c>
      <c r="L13" s="58"/>
    </row>
    <row r="14" spans="1:12" ht="12.95" customHeight="1" thickBot="1" x14ac:dyDescent="0.25">
      <c r="A14" s="4" t="s">
        <v>91</v>
      </c>
      <c r="B14" s="10"/>
      <c r="C14" s="2">
        <v>5</v>
      </c>
      <c r="F14" s="23" t="s">
        <v>75</v>
      </c>
      <c r="G14" s="16">
        <v>-149009</v>
      </c>
      <c r="H14" s="44">
        <v>18</v>
      </c>
      <c r="I14" s="46"/>
      <c r="J14" s="54"/>
      <c r="K14" s="18" t="s">
        <v>114</v>
      </c>
      <c r="L14" s="26">
        <v>4303412.45</v>
      </c>
    </row>
    <row r="15" spans="1:12" ht="12.95" customHeight="1" thickBot="1" x14ac:dyDescent="0.25">
      <c r="A15" s="4" t="s">
        <v>92</v>
      </c>
      <c r="B15" s="10"/>
      <c r="C15" s="2">
        <v>6</v>
      </c>
      <c r="F15" s="23" t="s">
        <v>86</v>
      </c>
      <c r="G15" s="16">
        <v>-5591.21</v>
      </c>
      <c r="H15" s="44">
        <v>19</v>
      </c>
      <c r="I15" s="46"/>
      <c r="J15" s="54"/>
      <c r="K15" s="18" t="s">
        <v>145</v>
      </c>
      <c r="L15" s="26">
        <v>5888479.7599999998</v>
      </c>
    </row>
    <row r="16" spans="1:12" ht="12.95" customHeight="1" thickBot="1" x14ac:dyDescent="0.25">
      <c r="A16" s="4" t="s">
        <v>7</v>
      </c>
      <c r="B16" s="10">
        <v>95995.89</v>
      </c>
      <c r="C16" s="2">
        <v>7</v>
      </c>
      <c r="F16" s="23" t="s">
        <v>76</v>
      </c>
      <c r="G16" s="16">
        <v>-257062.05</v>
      </c>
      <c r="H16" s="44">
        <v>20</v>
      </c>
      <c r="I16" s="46"/>
      <c r="J16" s="54"/>
      <c r="K16" s="18" t="s">
        <v>106</v>
      </c>
      <c r="L16" s="26">
        <v>950</v>
      </c>
    </row>
    <row r="17" spans="1:12" ht="12.95" customHeight="1" thickBot="1" x14ac:dyDescent="0.25">
      <c r="A17" s="4" t="s">
        <v>93</v>
      </c>
      <c r="B17" s="10"/>
      <c r="C17" s="2">
        <v>8</v>
      </c>
      <c r="F17" s="23" t="s">
        <v>77</v>
      </c>
      <c r="G17" s="16">
        <v>-20467.73</v>
      </c>
      <c r="H17" s="44">
        <v>21</v>
      </c>
      <c r="I17" s="46"/>
      <c r="J17" s="54"/>
      <c r="K17" s="30"/>
      <c r="L17" s="26">
        <f>SUM(L14:L16)</f>
        <v>10192842.210000001</v>
      </c>
    </row>
    <row r="18" spans="1:12" ht="12.95" customHeight="1" thickBot="1" x14ac:dyDescent="0.25">
      <c r="A18" s="4" t="s">
        <v>94</v>
      </c>
      <c r="B18" s="10"/>
      <c r="C18" s="2">
        <v>9</v>
      </c>
      <c r="F18" s="23" t="s">
        <v>78</v>
      </c>
      <c r="G18" s="16">
        <v>-33057.130000000005</v>
      </c>
      <c r="H18" s="44">
        <v>25</v>
      </c>
      <c r="I18" s="46"/>
      <c r="J18" s="54"/>
    </row>
    <row r="19" spans="1:12" ht="12.95" customHeight="1" thickBot="1" x14ac:dyDescent="0.25">
      <c r="A19" s="4" t="s">
        <v>95</v>
      </c>
      <c r="B19" s="10"/>
      <c r="C19" s="2">
        <v>10</v>
      </c>
      <c r="F19" s="23" t="s">
        <v>79</v>
      </c>
      <c r="G19" s="16">
        <v>-246812.61000000002</v>
      </c>
      <c r="H19" s="44">
        <v>27</v>
      </c>
      <c r="I19" s="46"/>
      <c r="J19" s="54"/>
    </row>
    <row r="20" spans="1:12" ht="12.95" customHeight="1" thickBot="1" x14ac:dyDescent="0.25">
      <c r="A20" s="4" t="s">
        <v>8</v>
      </c>
      <c r="B20" s="10"/>
      <c r="C20" s="2">
        <v>11</v>
      </c>
      <c r="F20" s="23" t="s">
        <v>80</v>
      </c>
      <c r="G20" s="16">
        <v>-629191.4700000002</v>
      </c>
      <c r="H20" s="44">
        <v>28</v>
      </c>
      <c r="I20" s="46"/>
      <c r="J20" s="54"/>
    </row>
    <row r="21" spans="1:12" ht="12.95" customHeight="1" thickBot="1" x14ac:dyDescent="0.25">
      <c r="A21" s="4" t="s">
        <v>96</v>
      </c>
      <c r="B21" s="10"/>
      <c r="C21" s="2">
        <v>12</v>
      </c>
      <c r="F21" s="23" t="s">
        <v>81</v>
      </c>
      <c r="G21" s="16">
        <v>-79821.7</v>
      </c>
      <c r="H21" s="44">
        <v>30</v>
      </c>
      <c r="I21" s="46"/>
      <c r="J21" s="54"/>
    </row>
    <row r="22" spans="1:12" ht="12.95" customHeight="1" thickBot="1" x14ac:dyDescent="0.25">
      <c r="A22" s="4" t="s">
        <v>97</v>
      </c>
      <c r="B22" s="10">
        <v>285.94</v>
      </c>
      <c r="C22" s="2">
        <v>13</v>
      </c>
      <c r="F22" s="23" t="s">
        <v>82</v>
      </c>
      <c r="G22" s="16">
        <v>-9700.9500000000007</v>
      </c>
      <c r="H22" s="44">
        <v>34</v>
      </c>
      <c r="I22" s="46"/>
      <c r="J22" s="54"/>
    </row>
    <row r="23" spans="1:12" ht="12.95" customHeight="1" thickBot="1" x14ac:dyDescent="0.25">
      <c r="A23" s="4" t="s">
        <v>98</v>
      </c>
      <c r="B23" s="10"/>
      <c r="C23" s="2">
        <v>14</v>
      </c>
      <c r="F23" s="23" t="s">
        <v>83</v>
      </c>
      <c r="G23" s="16">
        <v>-908.72</v>
      </c>
      <c r="H23" s="44">
        <v>35</v>
      </c>
      <c r="I23" s="46"/>
      <c r="J23" s="54"/>
    </row>
    <row r="24" spans="1:12" ht="12.95" customHeight="1" thickBot="1" x14ac:dyDescent="0.25">
      <c r="A24" s="5" t="s">
        <v>9</v>
      </c>
      <c r="B24" s="11">
        <f>SUM(B10:B23)</f>
        <v>4411626.76</v>
      </c>
      <c r="F24" s="23" t="s">
        <v>84</v>
      </c>
      <c r="G24" s="16">
        <v>-28.660000000000011</v>
      </c>
      <c r="H24" s="44">
        <v>36</v>
      </c>
      <c r="I24" s="46"/>
      <c r="J24" s="54"/>
    </row>
    <row r="25" spans="1:12" ht="12.95" customHeight="1" thickBot="1" x14ac:dyDescent="0.25">
      <c r="A25" s="7" t="s">
        <v>10</v>
      </c>
      <c r="B25" s="14"/>
      <c r="F25" s="23" t="s">
        <v>85</v>
      </c>
      <c r="G25" s="16">
        <v>-1326556.9600000002</v>
      </c>
      <c r="H25" s="44">
        <v>40</v>
      </c>
      <c r="I25" s="46"/>
      <c r="J25" s="32"/>
    </row>
    <row r="26" spans="1:12" ht="12.95" customHeight="1" thickBot="1" x14ac:dyDescent="0.25">
      <c r="A26" s="5" t="s">
        <v>11</v>
      </c>
      <c r="B26" s="11">
        <f>SUM(B27:B36)</f>
        <v>966232.69</v>
      </c>
      <c r="F26" s="19" t="s">
        <v>56</v>
      </c>
      <c r="G26" s="20">
        <f>SUBTOTAL(9,G9:G25)</f>
        <v>1119315.8699999999</v>
      </c>
      <c r="H26" s="20"/>
      <c r="I26" s="32"/>
      <c r="J26" s="12"/>
    </row>
    <row r="27" spans="1:12" ht="12.95" customHeight="1" thickBot="1" x14ac:dyDescent="0.25">
      <c r="A27" s="8" t="s">
        <v>12</v>
      </c>
      <c r="B27" s="10">
        <f>356913.95-B29</f>
        <v>332530.08</v>
      </c>
      <c r="C27" s="2">
        <v>15</v>
      </c>
    </row>
    <row r="28" spans="1:12" ht="12.95" customHeight="1" thickBot="1" x14ac:dyDescent="0.25">
      <c r="A28" s="8" t="s">
        <v>13</v>
      </c>
      <c r="B28" s="10">
        <v>177188.75</v>
      </c>
      <c r="C28" s="2">
        <v>16</v>
      </c>
    </row>
    <row r="29" spans="1:12" ht="12.95" customHeight="1" thickBot="1" x14ac:dyDescent="0.25">
      <c r="A29" s="8" t="s">
        <v>14</v>
      </c>
      <c r="B29" s="10">
        <v>24383.870000000003</v>
      </c>
      <c r="C29" s="2">
        <v>17</v>
      </c>
    </row>
    <row r="30" spans="1:12" ht="12.95" customHeight="1" thickBot="1" x14ac:dyDescent="0.25">
      <c r="A30" s="8" t="s">
        <v>15</v>
      </c>
      <c r="B30" s="10">
        <f>149009-7248.44</f>
        <v>141760.56</v>
      </c>
      <c r="C30" s="2">
        <v>18</v>
      </c>
    </row>
    <row r="31" spans="1:12" ht="12.95" customHeight="1" thickBot="1" x14ac:dyDescent="0.25">
      <c r="A31" s="8" t="s">
        <v>16</v>
      </c>
      <c r="B31" s="10">
        <v>5591.21</v>
      </c>
      <c r="C31" s="2">
        <v>19</v>
      </c>
    </row>
    <row r="32" spans="1:12" ht="12.95" customHeight="1" thickBot="1" x14ac:dyDescent="0.25">
      <c r="A32" s="8" t="s">
        <v>17</v>
      </c>
      <c r="B32" s="10">
        <f>257062.05+232.29</f>
        <v>257294.34</v>
      </c>
      <c r="C32" s="2">
        <v>20</v>
      </c>
      <c r="F32" s="59" t="s">
        <v>205</v>
      </c>
      <c r="G32" s="59"/>
      <c r="H32" s="59"/>
      <c r="I32" s="47"/>
      <c r="J32" s="51"/>
    </row>
    <row r="33" spans="1:12" ht="12.95" customHeight="1" thickBot="1" x14ac:dyDescent="0.25">
      <c r="A33" s="8" t="s">
        <v>18</v>
      </c>
      <c r="B33" s="10">
        <f>20467.73+7016.15</f>
        <v>27483.879999999997</v>
      </c>
      <c r="C33" s="2">
        <v>21</v>
      </c>
      <c r="F33" s="12" t="s">
        <v>57</v>
      </c>
      <c r="G33" s="40">
        <v>3919.09</v>
      </c>
      <c r="H33" s="12">
        <v>21</v>
      </c>
      <c r="I33" s="24"/>
      <c r="J33" s="12"/>
    </row>
    <row r="34" spans="1:12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3097.06</v>
      </c>
      <c r="H34" s="12">
        <v>21</v>
      </c>
      <c r="I34" s="24"/>
      <c r="J34" s="12"/>
    </row>
    <row r="35" spans="1:12" ht="12.95" customHeight="1" thickBot="1" x14ac:dyDescent="0.25">
      <c r="A35" s="8" t="s">
        <v>99</v>
      </c>
      <c r="B35" s="10"/>
      <c r="C35" s="2">
        <v>23</v>
      </c>
      <c r="F35" s="12" t="s">
        <v>59</v>
      </c>
      <c r="G35" s="24"/>
      <c r="H35" s="12">
        <v>20</v>
      </c>
      <c r="I35" s="24"/>
      <c r="J35" s="12"/>
    </row>
    <row r="36" spans="1:12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>
        <v>232.29</v>
      </c>
      <c r="H36" s="12">
        <v>20</v>
      </c>
      <c r="I36" s="24"/>
      <c r="J36" s="12"/>
    </row>
    <row r="37" spans="1:12" ht="12.95" customHeight="1" thickBot="1" x14ac:dyDescent="0.25">
      <c r="A37" s="5" t="s">
        <v>20</v>
      </c>
      <c r="B37" s="11">
        <f>B38+B41</f>
        <v>279869.74</v>
      </c>
      <c r="F37" s="12"/>
      <c r="G37" s="38">
        <f>SUM(G33:G36)</f>
        <v>7248.44</v>
      </c>
      <c r="H37" s="12"/>
      <c r="I37" s="24"/>
      <c r="J37" s="12"/>
    </row>
    <row r="38" spans="1:12" ht="12.95" customHeight="1" thickBot="1" x14ac:dyDescent="0.25">
      <c r="A38" s="5" t="s">
        <v>21</v>
      </c>
      <c r="B38" s="11">
        <f>SUM(B39:B40)</f>
        <v>33057.129999999997</v>
      </c>
      <c r="F38" s="12"/>
      <c r="G38" s="12"/>
      <c r="H38" s="12"/>
      <c r="I38" s="24"/>
      <c r="J38" s="12"/>
    </row>
    <row r="39" spans="1:12" ht="12.95" customHeight="1" thickBot="1" x14ac:dyDescent="0.25">
      <c r="A39" s="8" t="s">
        <v>22</v>
      </c>
      <c r="B39" s="10">
        <v>33057.129999999997</v>
      </c>
      <c r="C39" s="2">
        <v>25</v>
      </c>
      <c r="F39" s="23" t="s">
        <v>61</v>
      </c>
      <c r="G39" s="24">
        <v>4876.8100000000004</v>
      </c>
      <c r="H39" s="12">
        <v>17</v>
      </c>
      <c r="I39" s="24"/>
      <c r="J39" s="12"/>
    </row>
    <row r="40" spans="1:12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/>
      <c r="H40" s="12">
        <v>17</v>
      </c>
      <c r="I40" s="24"/>
      <c r="J40" s="12"/>
    </row>
    <row r="41" spans="1:12" ht="12.95" customHeight="1" thickBot="1" x14ac:dyDescent="0.25">
      <c r="A41" s="9" t="s">
        <v>24</v>
      </c>
      <c r="B41" s="10">
        <v>246812.61</v>
      </c>
      <c r="C41" s="2">
        <v>27</v>
      </c>
      <c r="F41" s="23" t="s">
        <v>63</v>
      </c>
      <c r="G41" s="24">
        <v>1579.96</v>
      </c>
      <c r="H41" s="12">
        <v>17</v>
      </c>
      <c r="I41" s="24"/>
      <c r="J41" s="12"/>
      <c r="K41" s="17"/>
    </row>
    <row r="42" spans="1:12" ht="12.95" customHeight="1" thickBot="1" x14ac:dyDescent="0.25">
      <c r="A42" s="5" t="s">
        <v>25</v>
      </c>
      <c r="B42" s="11">
        <f>SUM(B43:B45)</f>
        <v>709013.16999999993</v>
      </c>
      <c r="F42" s="23" t="s">
        <v>64</v>
      </c>
      <c r="G42" s="24">
        <v>769.44</v>
      </c>
      <c r="H42" s="12">
        <v>17</v>
      </c>
      <c r="I42" s="24"/>
      <c r="J42" s="12"/>
    </row>
    <row r="43" spans="1:12" ht="12.95" customHeight="1" thickBot="1" x14ac:dyDescent="0.25">
      <c r="A43" s="8" t="s">
        <v>26</v>
      </c>
      <c r="B43" s="10">
        <v>629191.47</v>
      </c>
      <c r="C43" s="2">
        <v>28</v>
      </c>
      <c r="F43" s="23" t="s">
        <v>65</v>
      </c>
      <c r="G43" s="24"/>
      <c r="H43" s="12">
        <v>17</v>
      </c>
      <c r="I43" s="24"/>
      <c r="J43" s="12"/>
      <c r="L43" s="17"/>
    </row>
    <row r="44" spans="1:12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24"/>
      <c r="J44" s="12"/>
    </row>
    <row r="45" spans="1:12" ht="12.95" customHeight="1" thickBot="1" x14ac:dyDescent="0.25">
      <c r="A45" s="8" t="s">
        <v>28</v>
      </c>
      <c r="B45" s="10">
        <v>79821.7</v>
      </c>
      <c r="C45" s="2">
        <v>30</v>
      </c>
      <c r="F45" s="23" t="s">
        <v>109</v>
      </c>
      <c r="G45" s="24"/>
      <c r="H45" s="12">
        <v>17</v>
      </c>
      <c r="I45" s="24"/>
      <c r="J45" s="12"/>
    </row>
    <row r="46" spans="1:12" ht="12.95" customHeight="1" thickBot="1" x14ac:dyDescent="0.25">
      <c r="A46" s="5" t="s">
        <v>29</v>
      </c>
      <c r="B46" s="11">
        <f>SUM(B47:B49)</f>
        <v>0</v>
      </c>
      <c r="F46" s="23" t="s">
        <v>66</v>
      </c>
      <c r="G46" s="24"/>
      <c r="H46" s="12">
        <v>17</v>
      </c>
      <c r="I46" s="24"/>
      <c r="J46" s="12"/>
    </row>
    <row r="47" spans="1:12" ht="12.95" customHeight="1" thickBot="1" x14ac:dyDescent="0.25">
      <c r="A47" s="8" t="s">
        <v>30</v>
      </c>
      <c r="B47" s="10"/>
      <c r="C47" s="2">
        <v>31</v>
      </c>
      <c r="F47" s="23" t="s">
        <v>67</v>
      </c>
      <c r="G47" s="24">
        <v>9100.1299999999992</v>
      </c>
      <c r="H47" s="12">
        <v>17</v>
      </c>
      <c r="I47" s="24"/>
      <c r="J47" s="12"/>
    </row>
    <row r="48" spans="1:12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7496.17</v>
      </c>
      <c r="H48" s="12">
        <v>17</v>
      </c>
      <c r="I48" s="24"/>
      <c r="J48" s="12"/>
    </row>
    <row r="49" spans="1:10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>
        <v>238.5</v>
      </c>
      <c r="H49" s="12">
        <v>17</v>
      </c>
      <c r="I49" s="24"/>
      <c r="J49" s="12"/>
    </row>
    <row r="50" spans="1:10" ht="12.95" customHeight="1" thickBot="1" x14ac:dyDescent="0.25">
      <c r="A50" s="9" t="s">
        <v>33</v>
      </c>
      <c r="B50" s="10">
        <v>9700.9500000000007</v>
      </c>
      <c r="C50" s="2">
        <v>34</v>
      </c>
      <c r="F50" s="23" t="s">
        <v>110</v>
      </c>
      <c r="G50" s="24">
        <v>322.86</v>
      </c>
      <c r="H50" s="12">
        <v>17</v>
      </c>
      <c r="I50" s="24"/>
      <c r="J50" s="12"/>
    </row>
    <row r="51" spans="1:10" ht="12.95" customHeight="1" thickBot="1" x14ac:dyDescent="0.25">
      <c r="A51" s="9" t="s">
        <v>34</v>
      </c>
      <c r="B51" s="10">
        <v>908.72</v>
      </c>
      <c r="C51" s="2">
        <v>35</v>
      </c>
      <c r="F51" s="13"/>
      <c r="G51" s="37">
        <f>SUM(G39:G50)</f>
        <v>24383.870000000003</v>
      </c>
    </row>
    <row r="52" spans="1:10" ht="12.95" customHeight="1" thickBot="1" x14ac:dyDescent="0.25">
      <c r="A52" s="9" t="s">
        <v>35</v>
      </c>
      <c r="B52" s="10">
        <v>28.66</v>
      </c>
      <c r="C52" s="2">
        <v>36</v>
      </c>
    </row>
    <row r="53" spans="1:10" ht="12.95" customHeight="1" thickBot="1" x14ac:dyDescent="0.25">
      <c r="A53" s="9" t="s">
        <v>36</v>
      </c>
      <c r="B53" s="10"/>
      <c r="C53" s="2">
        <v>37</v>
      </c>
    </row>
    <row r="54" spans="1:10" ht="12.95" customHeight="1" thickBot="1" x14ac:dyDescent="0.25">
      <c r="A54" s="9" t="s">
        <v>37</v>
      </c>
      <c r="B54" s="10"/>
      <c r="C54" s="2">
        <v>38</v>
      </c>
    </row>
    <row r="55" spans="1:10" ht="12.95" customHeight="1" thickBot="1" x14ac:dyDescent="0.25">
      <c r="A55" s="9" t="s">
        <v>38</v>
      </c>
      <c r="B55" s="10"/>
      <c r="C55" s="2">
        <v>39</v>
      </c>
    </row>
    <row r="56" spans="1:10" ht="12.95" customHeight="1" thickBot="1" x14ac:dyDescent="0.25">
      <c r="A56" s="9" t="s">
        <v>39</v>
      </c>
      <c r="B56" s="10">
        <v>1326556.96</v>
      </c>
      <c r="C56" s="2">
        <v>40</v>
      </c>
    </row>
    <row r="57" spans="1:10" ht="12.95" customHeight="1" thickBot="1" x14ac:dyDescent="0.25">
      <c r="A57" s="5" t="s">
        <v>40</v>
      </c>
      <c r="B57" s="11">
        <f>B26+B37+B42+B46+B50+B51+B52+B53+B54+B55+B56</f>
        <v>3292310.8899999997</v>
      </c>
      <c r="F57" s="12"/>
    </row>
    <row r="58" spans="1:10" ht="12.95" customHeight="1" thickBot="1" x14ac:dyDescent="0.25">
      <c r="A58" s="5" t="s">
        <v>41</v>
      </c>
      <c r="B58" s="11">
        <f>B24-B57</f>
        <v>1119315.8700000001</v>
      </c>
    </row>
    <row r="59" spans="1:10" ht="12.95" customHeight="1" thickBot="1" x14ac:dyDescent="0.25">
      <c r="A59" s="5" t="s">
        <v>42</v>
      </c>
      <c r="B59" s="11">
        <f>B8+B24-B57</f>
        <v>14319215.520000011</v>
      </c>
    </row>
    <row r="60" spans="1:10" ht="12.95" customHeight="1" x14ac:dyDescent="0.2">
      <c r="A60" s="6"/>
      <c r="B60" s="17"/>
    </row>
    <row r="61" spans="1:10" ht="12.95" customHeight="1" thickBot="1" x14ac:dyDescent="0.25">
      <c r="A61" s="41" t="s">
        <v>43</v>
      </c>
      <c r="B61" s="41"/>
      <c r="C61" s="41"/>
      <c r="D61" s="41"/>
      <c r="E61" s="41"/>
    </row>
    <row r="62" spans="1:10" ht="12.95" customHeight="1" thickBot="1" x14ac:dyDescent="0.25">
      <c r="A62" s="62"/>
      <c r="B62" s="3" t="str">
        <f>B6</f>
        <v>Dezembro</v>
      </c>
    </row>
    <row r="63" spans="1:10" ht="12.95" customHeight="1" thickBot="1" x14ac:dyDescent="0.25">
      <c r="A63" s="63"/>
      <c r="B63" s="3" t="s">
        <v>3</v>
      </c>
    </row>
    <row r="64" spans="1:10" ht="12.95" customHeight="1" thickBot="1" x14ac:dyDescent="0.25">
      <c r="A64" s="4" t="s">
        <v>44</v>
      </c>
      <c r="B64" s="10">
        <v>0</v>
      </c>
    </row>
    <row r="65" spans="1:7" ht="12.95" customHeight="1" thickBot="1" x14ac:dyDescent="0.25">
      <c r="A65" s="4" t="s">
        <v>45</v>
      </c>
      <c r="B65" s="10">
        <f>L14+L15</f>
        <v>10191892.210000001</v>
      </c>
    </row>
    <row r="66" spans="1:7" ht="12.95" customHeight="1" thickBot="1" x14ac:dyDescent="0.25">
      <c r="A66" s="4" t="s">
        <v>46</v>
      </c>
      <c r="B66" s="10">
        <f>L16</f>
        <v>950</v>
      </c>
    </row>
    <row r="67" spans="1:7" ht="12.95" customHeight="1" thickBot="1" x14ac:dyDescent="0.25">
      <c r="A67" s="5" t="s">
        <v>47</v>
      </c>
      <c r="B67" s="11">
        <f>SUM(B64:B66)</f>
        <v>10192842.210000001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41" t="s">
        <v>48</v>
      </c>
      <c r="B69" s="41"/>
      <c r="C69" s="41"/>
      <c r="D69" s="41"/>
      <c r="E69" s="41"/>
    </row>
    <row r="70" spans="1:7" ht="12.95" customHeight="1" thickBot="1" x14ac:dyDescent="0.25">
      <c r="A70" s="62"/>
      <c r="B70" s="3" t="str">
        <f>B62</f>
        <v>Dezembro</v>
      </c>
      <c r="G70" s="15"/>
    </row>
    <row r="71" spans="1:7" ht="12.95" customHeight="1" thickBot="1" x14ac:dyDescent="0.25">
      <c r="A71" s="63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+B67</f>
        <v>10192842.210000001</v>
      </c>
      <c r="C73" s="25"/>
    </row>
    <row r="74" spans="1:7" ht="12.95" customHeight="1" thickBot="1" x14ac:dyDescent="0.25">
      <c r="A74" s="5" t="s">
        <v>47</v>
      </c>
      <c r="B74" s="11">
        <f>SUM(B72:B73)</f>
        <v>10192842.210000001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41" t="s">
        <v>51</v>
      </c>
      <c r="B76" s="41"/>
      <c r="C76" s="41"/>
      <c r="D76" s="41"/>
      <c r="E76" s="41"/>
      <c r="F76" s="50"/>
      <c r="G76" s="17"/>
    </row>
    <row r="77" spans="1:7" ht="12.95" customHeight="1" thickBot="1" x14ac:dyDescent="0.25">
      <c r="A77" s="4"/>
      <c r="B77" s="3" t="s">
        <v>52</v>
      </c>
      <c r="C77" s="64" t="s">
        <v>209</v>
      </c>
      <c r="D77" s="64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Dezembro</v>
      </c>
      <c r="C78" s="64"/>
      <c r="D78" s="64"/>
      <c r="E78" s="50"/>
      <c r="F78" s="50"/>
    </row>
    <row r="79" spans="1:7" ht="12.95" customHeight="1" x14ac:dyDescent="0.2">
      <c r="A79" s="6"/>
      <c r="C79" s="64"/>
      <c r="D79" s="64"/>
      <c r="E79" s="50"/>
      <c r="F79" s="35"/>
    </row>
    <row r="80" spans="1:7" ht="12.95" customHeight="1" x14ac:dyDescent="0.2">
      <c r="C80" s="64"/>
      <c r="D80" s="64"/>
      <c r="E80" s="35"/>
    </row>
    <row r="81" spans="3:5" ht="12.95" customHeight="1" x14ac:dyDescent="0.2">
      <c r="C81" s="35"/>
      <c r="D81" s="49"/>
      <c r="E81" s="17"/>
    </row>
    <row r="82" spans="3:5" ht="12.95" customHeight="1" x14ac:dyDescent="0.2">
      <c r="C82" s="35"/>
      <c r="D82" s="35"/>
      <c r="E82" s="17"/>
    </row>
    <row r="83" spans="3:5" ht="12.95" customHeight="1" x14ac:dyDescent="0.2">
      <c r="D83" s="17"/>
      <c r="E83" s="17"/>
    </row>
    <row r="84" spans="3:5" ht="12.95" customHeight="1" x14ac:dyDescent="0.2">
      <c r="E84" s="17"/>
    </row>
  </sheetData>
  <mergeCells count="11">
    <mergeCell ref="K8:L8"/>
    <mergeCell ref="A1:C1"/>
    <mergeCell ref="A2:C2"/>
    <mergeCell ref="A3:B3"/>
    <mergeCell ref="A6:A7"/>
    <mergeCell ref="C6:C7"/>
    <mergeCell ref="K13:L13"/>
    <mergeCell ref="F32:H32"/>
    <mergeCell ref="A62:A63"/>
    <mergeCell ref="A70:A71"/>
    <mergeCell ref="C77:D80"/>
  </mergeCells>
  <pageMargins left="0.78740157480314965" right="0.78740157480314965" top="0.98425196850393704" bottom="0.98425196850393704" header="0.51181102362204722" footer="0.51181102362204722"/>
  <pageSetup paperSize="9" scale="4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E07A3-9C9E-499D-9DAA-2B3EC291587E}">
  <sheetPr>
    <tabColor rgb="FF00B050"/>
  </sheetPr>
  <dimension ref="A1:Q77"/>
  <sheetViews>
    <sheetView showGridLines="0" zoomScale="110" zoomScaleNormal="110" workbookViewId="0">
      <selection activeCell="C52" sqref="C52"/>
    </sheetView>
  </sheetViews>
  <sheetFormatPr defaultRowHeight="11.25" x14ac:dyDescent="0.2"/>
  <cols>
    <col min="1" max="1" width="41.5703125" style="2" bestFit="1" customWidth="1"/>
    <col min="2" max="3" width="13.7109375" style="2" bestFit="1" customWidth="1"/>
    <col min="4" max="13" width="13.7109375" style="2" hidden="1" customWidth="1"/>
    <col min="14" max="14" width="13.85546875" style="2" bestFit="1" customWidth="1"/>
    <col min="15" max="16" width="3.28515625" style="2" bestFit="1" customWidth="1"/>
    <col min="17" max="17" width="10.85546875" style="2" bestFit="1" customWidth="1"/>
    <col min="18" max="19" width="9.140625" style="2"/>
    <col min="20" max="20" width="12.140625" style="2" bestFit="1" customWidth="1"/>
    <col min="21" max="16384" width="9.140625" style="2"/>
  </cols>
  <sheetData>
    <row r="1" spans="1:16" ht="12.95" customHeight="1" x14ac:dyDescent="0.2">
      <c r="A1" s="60" t="s">
        <v>149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"/>
      <c r="P1" s="6"/>
    </row>
    <row r="2" spans="1:16" ht="12.95" customHeight="1" x14ac:dyDescent="0.2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2"/>
      <c r="P2" s="42"/>
    </row>
    <row r="3" spans="1:16" ht="12.95" customHeight="1" x14ac:dyDescent="0.2">
      <c r="A3" s="61" t="s">
        <v>217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42"/>
      <c r="P3" s="42"/>
    </row>
    <row r="4" spans="1:16" ht="12.95" customHeight="1" x14ac:dyDescent="0.2">
      <c r="A4" s="68" t="s">
        <v>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6" ht="12.95" customHeight="1" thickBot="1" x14ac:dyDescent="0.25"/>
    <row r="6" spans="1:16" ht="12.95" customHeight="1" thickBot="1" x14ac:dyDescent="0.25">
      <c r="A6" s="62"/>
      <c r="B6" s="3" t="s">
        <v>2</v>
      </c>
      <c r="C6" s="3" t="s">
        <v>117</v>
      </c>
      <c r="D6" s="3" t="s">
        <v>118</v>
      </c>
      <c r="E6" s="3" t="s">
        <v>119</v>
      </c>
      <c r="F6" s="3" t="s">
        <v>120</v>
      </c>
      <c r="G6" s="3" t="s">
        <v>121</v>
      </c>
      <c r="H6" s="3" t="s">
        <v>122</v>
      </c>
      <c r="I6" s="3" t="s">
        <v>123</v>
      </c>
      <c r="J6" s="3" t="s">
        <v>124</v>
      </c>
      <c r="K6" s="3" t="s">
        <v>125</v>
      </c>
      <c r="L6" s="3" t="s">
        <v>126</v>
      </c>
      <c r="M6" s="3" t="s">
        <v>127</v>
      </c>
      <c r="N6" s="3" t="s">
        <v>128</v>
      </c>
      <c r="O6" s="66" t="s">
        <v>54</v>
      </c>
    </row>
    <row r="7" spans="1:16" ht="12.95" customHeight="1" thickBot="1" x14ac:dyDescent="0.25">
      <c r="A7" s="63"/>
      <c r="B7" s="3" t="s">
        <v>3</v>
      </c>
      <c r="C7" s="3" t="s">
        <v>3</v>
      </c>
      <c r="D7" s="3" t="s">
        <v>3</v>
      </c>
      <c r="E7" s="3" t="s">
        <v>3</v>
      </c>
      <c r="F7" s="3" t="s">
        <v>3</v>
      </c>
      <c r="G7" s="3" t="s">
        <v>3</v>
      </c>
      <c r="H7" s="3" t="s">
        <v>3</v>
      </c>
      <c r="I7" s="3" t="s">
        <v>3</v>
      </c>
      <c r="J7" s="3" t="s">
        <v>3</v>
      </c>
      <c r="K7" s="3" t="s">
        <v>3</v>
      </c>
      <c r="L7" s="3" t="s">
        <v>3</v>
      </c>
      <c r="M7" s="3" t="s">
        <v>3</v>
      </c>
      <c r="N7" s="3" t="s">
        <v>3</v>
      </c>
      <c r="O7" s="66"/>
    </row>
    <row r="8" spans="1:16" ht="12.95" customHeight="1" thickBot="1" x14ac:dyDescent="0.25">
      <c r="A8" s="4" t="s">
        <v>4</v>
      </c>
      <c r="B8" s="11">
        <f>Jan!B8</f>
        <v>10192842.210000008</v>
      </c>
      <c r="C8" s="11">
        <f>Fev!B8</f>
        <v>10918787.910000008</v>
      </c>
      <c r="D8" s="11">
        <f>Mar!B8</f>
        <v>11252161.430000007</v>
      </c>
      <c r="E8" s="11">
        <f>Abr!B8</f>
        <v>11611547.580000008</v>
      </c>
      <c r="F8" s="11">
        <f>Mai!B8</f>
        <v>12731200.250000007</v>
      </c>
      <c r="G8" s="11">
        <f>Jun!B8</f>
        <v>12884965.850000007</v>
      </c>
      <c r="H8" s="11">
        <f>Jul!B8</f>
        <v>13820824.370000008</v>
      </c>
      <c r="I8" s="11">
        <f>Agosto!B8</f>
        <v>13698885.170000007</v>
      </c>
      <c r="J8" s="11">
        <f>Setembro!B8</f>
        <v>14469404.620000008</v>
      </c>
      <c r="K8" s="11">
        <f>Outubro!B8</f>
        <v>15613217.610000009</v>
      </c>
      <c r="L8" s="11">
        <f>Novembro!B8</f>
        <v>16185459.500000009</v>
      </c>
      <c r="M8" s="11">
        <f>Dezembro!B8</f>
        <v>13199899.65000001</v>
      </c>
      <c r="N8" s="11"/>
    </row>
    <row r="9" spans="1:16" ht="12.95" customHeight="1" thickBot="1" x14ac:dyDescent="0.25">
      <c r="A9" s="7" t="s">
        <v>5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6" ht="12.95" customHeight="1" thickBot="1" x14ac:dyDescent="0.25">
      <c r="A10" s="4" t="s">
        <v>6</v>
      </c>
      <c r="B10" s="10">
        <f>Jan!B10</f>
        <v>3332126.73</v>
      </c>
      <c r="C10" s="10">
        <f>Fev!B10</f>
        <v>3339477.79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>
        <f>SUM(B10:M10)</f>
        <v>6671604.5199999996</v>
      </c>
      <c r="O10" s="2">
        <v>1</v>
      </c>
    </row>
    <row r="11" spans="1:16" ht="12.95" customHeight="1" thickBot="1" x14ac:dyDescent="0.25">
      <c r="A11" s="4" t="s">
        <v>88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2">
        <v>2</v>
      </c>
    </row>
    <row r="12" spans="1:16" ht="12.95" customHeight="1" thickBot="1" x14ac:dyDescent="0.25">
      <c r="A12" s="4" t="s">
        <v>89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">
        <v>3</v>
      </c>
    </row>
    <row r="13" spans="1:16" ht="12.95" customHeight="1" thickBot="1" x14ac:dyDescent="0.25">
      <c r="A13" s="4" t="s">
        <v>90</v>
      </c>
      <c r="B13" s="10">
        <f>Jan!B13</f>
        <v>0</v>
      </c>
      <c r="C13" s="10">
        <f>Fev!B13</f>
        <v>0</v>
      </c>
      <c r="D13" s="10">
        <f>Mar!B13</f>
        <v>0</v>
      </c>
      <c r="E13" s="10">
        <f>Abr!B13</f>
        <v>0</v>
      </c>
      <c r="F13" s="10">
        <f>Mai!B13</f>
        <v>0</v>
      </c>
      <c r="G13" s="11">
        <f>Jun!B13</f>
        <v>0</v>
      </c>
      <c r="H13" s="10"/>
      <c r="I13" s="10"/>
      <c r="J13" s="10"/>
      <c r="K13" s="10"/>
      <c r="L13" s="10"/>
      <c r="M13" s="10"/>
      <c r="N13" s="10">
        <f>SUM(B13:M13)</f>
        <v>0</v>
      </c>
      <c r="O13" s="2">
        <v>4</v>
      </c>
    </row>
    <row r="14" spans="1:16" ht="12.95" customHeight="1" thickBot="1" x14ac:dyDescent="0.25">
      <c r="A14" s="4" t="s">
        <v>91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">
        <v>5</v>
      </c>
    </row>
    <row r="15" spans="1:16" ht="12.95" customHeight="1" thickBot="1" x14ac:dyDescent="0.25">
      <c r="A15" s="4" t="s">
        <v>92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">
        <v>6</v>
      </c>
    </row>
    <row r="16" spans="1:16" ht="12.95" customHeight="1" thickBot="1" x14ac:dyDescent="0.25">
      <c r="A16" s="4" t="s">
        <v>7</v>
      </c>
      <c r="B16" s="10">
        <f>Jan!B16</f>
        <v>105232.99</v>
      </c>
      <c r="C16" s="10">
        <f>Fev!B16</f>
        <v>98868.36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>
        <f>SUM(B16:M16)</f>
        <v>204101.35</v>
      </c>
      <c r="O16" s="2">
        <v>7</v>
      </c>
    </row>
    <row r="17" spans="1:15" ht="12.95" customHeight="1" thickBot="1" x14ac:dyDescent="0.25">
      <c r="A17" s="4" t="s">
        <v>93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">
        <v>8</v>
      </c>
    </row>
    <row r="18" spans="1:15" ht="12.95" customHeight="1" thickBot="1" x14ac:dyDescent="0.25">
      <c r="A18" s="4" t="s">
        <v>94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2">
        <v>9</v>
      </c>
    </row>
    <row r="19" spans="1:15" ht="12.95" customHeight="1" thickBot="1" x14ac:dyDescent="0.25">
      <c r="A19" s="4" t="s">
        <v>95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2">
        <v>10</v>
      </c>
    </row>
    <row r="20" spans="1:15" ht="12.95" customHeight="1" thickBot="1" x14ac:dyDescent="0.25">
      <c r="A20" s="4" t="s">
        <v>8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2">
        <v>11</v>
      </c>
    </row>
    <row r="21" spans="1:15" ht="12.95" customHeight="1" thickBot="1" x14ac:dyDescent="0.25">
      <c r="A21" s="4" t="s">
        <v>96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2">
        <v>12</v>
      </c>
    </row>
    <row r="22" spans="1:15" ht="12.95" customHeight="1" thickBot="1" x14ac:dyDescent="0.25">
      <c r="A22" s="4" t="s">
        <v>97</v>
      </c>
      <c r="B22" s="10">
        <f>Jan!B22</f>
        <v>0</v>
      </c>
      <c r="C22" s="10">
        <f>Fev!B22</f>
        <v>0</v>
      </c>
      <c r="D22" s="10"/>
      <c r="E22" s="10"/>
      <c r="F22" s="10"/>
      <c r="G22" s="11"/>
      <c r="H22" s="10"/>
      <c r="I22" s="10"/>
      <c r="J22" s="10"/>
      <c r="K22" s="10"/>
      <c r="L22" s="10"/>
      <c r="M22" s="10"/>
      <c r="N22" s="10">
        <f>SUM(B22:M22)</f>
        <v>0</v>
      </c>
      <c r="O22" s="2">
        <v>13</v>
      </c>
    </row>
    <row r="23" spans="1:15" ht="12.95" customHeight="1" thickBot="1" x14ac:dyDescent="0.25">
      <c r="A23" s="4" t="s">
        <v>98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>
        <f>SUM(B23:M23)</f>
        <v>0</v>
      </c>
      <c r="O23" s="2">
        <v>14</v>
      </c>
    </row>
    <row r="24" spans="1:15" ht="12.95" customHeight="1" thickBot="1" x14ac:dyDescent="0.25">
      <c r="A24" s="5" t="s">
        <v>9</v>
      </c>
      <c r="B24" s="11">
        <f t="shared" ref="B24:H24" si="0">SUM(B10:B23)</f>
        <v>3437359.72</v>
      </c>
      <c r="C24" s="11">
        <f t="shared" si="0"/>
        <v>3438346.15</v>
      </c>
      <c r="D24" s="11">
        <f t="shared" si="0"/>
        <v>0</v>
      </c>
      <c r="E24" s="11">
        <f t="shared" si="0"/>
        <v>0</v>
      </c>
      <c r="F24" s="11">
        <f t="shared" si="0"/>
        <v>0</v>
      </c>
      <c r="G24" s="11">
        <f t="shared" si="0"/>
        <v>0</v>
      </c>
      <c r="H24" s="11">
        <f t="shared" si="0"/>
        <v>0</v>
      </c>
      <c r="I24" s="11">
        <f t="shared" ref="I24:M24" si="1">SUM(I10:I23)</f>
        <v>0</v>
      </c>
      <c r="J24" s="11">
        <f t="shared" si="1"/>
        <v>0</v>
      </c>
      <c r="K24" s="11">
        <f t="shared" si="1"/>
        <v>0</v>
      </c>
      <c r="L24" s="11">
        <f t="shared" si="1"/>
        <v>0</v>
      </c>
      <c r="M24" s="11">
        <f t="shared" si="1"/>
        <v>0</v>
      </c>
      <c r="N24" s="11">
        <f>SUM(N10:N23)</f>
        <v>6875705.8699999992</v>
      </c>
    </row>
    <row r="25" spans="1:15" ht="12.95" customHeight="1" thickBot="1" x14ac:dyDescent="0.25">
      <c r="A25" s="7" t="s">
        <v>10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5" ht="12.95" customHeight="1" thickBot="1" x14ac:dyDescent="0.25">
      <c r="A26" s="5" t="s">
        <v>11</v>
      </c>
      <c r="B26" s="11">
        <f t="shared" ref="B26:H26" si="2">SUM(B27:B36)</f>
        <v>757972.74</v>
      </c>
      <c r="C26" s="11">
        <f t="shared" si="2"/>
        <v>852832.09000000008</v>
      </c>
      <c r="D26" s="11">
        <f t="shared" si="2"/>
        <v>0</v>
      </c>
      <c r="E26" s="11">
        <f t="shared" si="2"/>
        <v>0</v>
      </c>
      <c r="F26" s="11">
        <f t="shared" si="2"/>
        <v>0</v>
      </c>
      <c r="G26" s="11">
        <f t="shared" si="2"/>
        <v>0</v>
      </c>
      <c r="H26" s="11">
        <f t="shared" si="2"/>
        <v>0</v>
      </c>
      <c r="I26" s="11">
        <f t="shared" ref="I26:M26" si="3">SUM(I27:I36)</f>
        <v>0</v>
      </c>
      <c r="J26" s="11">
        <f t="shared" si="3"/>
        <v>0</v>
      </c>
      <c r="K26" s="11">
        <f t="shared" si="3"/>
        <v>0</v>
      </c>
      <c r="L26" s="11">
        <f t="shared" si="3"/>
        <v>0</v>
      </c>
      <c r="M26" s="11">
        <f t="shared" si="3"/>
        <v>0</v>
      </c>
      <c r="N26" s="11">
        <f>SUM(N27:N36)</f>
        <v>1610804.83</v>
      </c>
    </row>
    <row r="27" spans="1:15" ht="12.95" customHeight="1" thickBot="1" x14ac:dyDescent="0.25">
      <c r="A27" s="8" t="s">
        <v>12</v>
      </c>
      <c r="B27" s="10">
        <f>Jan!B27</f>
        <v>330520.24000000005</v>
      </c>
      <c r="C27" s="10">
        <f>Fev!B27</f>
        <v>323833.45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>
        <f t="shared" ref="N27:N34" si="4">SUM(B27:M27)</f>
        <v>654353.69000000006</v>
      </c>
      <c r="O27" s="2">
        <v>15</v>
      </c>
    </row>
    <row r="28" spans="1:15" ht="12.95" customHeight="1" thickBot="1" x14ac:dyDescent="0.25">
      <c r="A28" s="8" t="s">
        <v>13</v>
      </c>
      <c r="B28" s="10">
        <f>Jan!B28</f>
        <v>107863.08</v>
      </c>
      <c r="C28" s="10">
        <f>Fev!B28</f>
        <v>239094.76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>
        <f t="shared" si="4"/>
        <v>346957.84</v>
      </c>
      <c r="O28" s="2">
        <v>16</v>
      </c>
    </row>
    <row r="29" spans="1:15" ht="12.95" customHeight="1" thickBot="1" x14ac:dyDescent="0.25">
      <c r="A29" s="8" t="s">
        <v>14</v>
      </c>
      <c r="B29" s="10">
        <f>Jan!B29</f>
        <v>46796.909999999996</v>
      </c>
      <c r="C29" s="10">
        <f>Fev!B29</f>
        <v>28265.809999999998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>
        <f t="shared" si="4"/>
        <v>75062.720000000001</v>
      </c>
      <c r="O29" s="2">
        <v>17</v>
      </c>
    </row>
    <row r="30" spans="1:15" ht="12.95" customHeight="1" thickBot="1" x14ac:dyDescent="0.25">
      <c r="A30" s="8" t="s">
        <v>15</v>
      </c>
      <c r="B30" s="10">
        <f>Jan!B30</f>
        <v>157451.11000000002</v>
      </c>
      <c r="C30" s="10">
        <f>Fev!B30</f>
        <v>107196.67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>
        <f t="shared" si="4"/>
        <v>264647.78000000003</v>
      </c>
      <c r="O30" s="2">
        <v>18</v>
      </c>
    </row>
    <row r="31" spans="1:15" ht="12.95" customHeight="1" thickBot="1" x14ac:dyDescent="0.25">
      <c r="A31" s="8" t="s">
        <v>16</v>
      </c>
      <c r="B31" s="10">
        <f>Jan!B31</f>
        <v>859.96</v>
      </c>
      <c r="C31" s="10">
        <f>Fev!B31</f>
        <v>77364.37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>
        <f t="shared" si="4"/>
        <v>78224.33</v>
      </c>
      <c r="O31" s="2">
        <v>19</v>
      </c>
    </row>
    <row r="32" spans="1:15" ht="12.95" customHeight="1" thickBot="1" x14ac:dyDescent="0.25">
      <c r="A32" s="8" t="s">
        <v>17</v>
      </c>
      <c r="B32" s="10">
        <f>Jan!B32</f>
        <v>24954.46</v>
      </c>
      <c r="C32" s="10">
        <f>Fev!B32</f>
        <v>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>
        <f t="shared" si="4"/>
        <v>24954.46</v>
      </c>
      <c r="O32" s="2">
        <v>20</v>
      </c>
    </row>
    <row r="33" spans="1:15" ht="12.95" customHeight="1" thickBot="1" x14ac:dyDescent="0.25">
      <c r="A33" s="8" t="s">
        <v>18</v>
      </c>
      <c r="B33" s="10">
        <f>Jan!B33</f>
        <v>89526.98</v>
      </c>
      <c r="C33" s="10">
        <f>Fev!B33</f>
        <v>77077.03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>
        <f t="shared" si="4"/>
        <v>166604.01</v>
      </c>
      <c r="O33" s="2">
        <v>21</v>
      </c>
    </row>
    <row r="34" spans="1:15" ht="12.95" customHeight="1" thickBot="1" x14ac:dyDescent="0.25">
      <c r="A34" s="8" t="s">
        <v>19</v>
      </c>
      <c r="B34" s="10">
        <f>Jan!B34</f>
        <v>0</v>
      </c>
      <c r="C34" s="10">
        <f>Fev!B34</f>
        <v>0</v>
      </c>
      <c r="D34" s="10"/>
      <c r="E34" s="10">
        <f>Abr!B34</f>
        <v>0</v>
      </c>
      <c r="F34" s="10"/>
      <c r="G34" s="10"/>
      <c r="H34" s="10"/>
      <c r="I34" s="10"/>
      <c r="J34" s="10"/>
      <c r="K34" s="10"/>
      <c r="L34" s="10"/>
      <c r="M34" s="10"/>
      <c r="N34" s="10">
        <f t="shared" si="4"/>
        <v>0</v>
      </c>
      <c r="O34" s="2">
        <v>22</v>
      </c>
    </row>
    <row r="35" spans="1:15" ht="12.95" customHeight="1" thickBot="1" x14ac:dyDescent="0.25">
      <c r="A35" s="8" t="s">
        <v>99</v>
      </c>
      <c r="B35" s="10">
        <f>Jan!B35</f>
        <v>0</v>
      </c>
      <c r="C35" s="10">
        <f>Fev!B35</f>
        <v>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>
        <f t="shared" ref="N35" si="5">SUM(B35:M35)</f>
        <v>0</v>
      </c>
      <c r="O35" s="2">
        <v>23</v>
      </c>
    </row>
    <row r="36" spans="1:15" ht="12.95" customHeight="1" thickBot="1" x14ac:dyDescent="0.25">
      <c r="A36" s="8" t="s">
        <v>100</v>
      </c>
      <c r="B36" s="10">
        <f>Jan!B36</f>
        <v>0</v>
      </c>
      <c r="C36" s="10">
        <f>Fev!B36</f>
        <v>0</v>
      </c>
      <c r="D36" s="10"/>
      <c r="E36" s="10">
        <f>Abr!B36</f>
        <v>0</v>
      </c>
      <c r="F36" s="10"/>
      <c r="G36" s="10"/>
      <c r="H36" s="10"/>
      <c r="I36" s="10"/>
      <c r="J36" s="10"/>
      <c r="K36" s="10"/>
      <c r="L36" s="10"/>
      <c r="M36" s="10"/>
      <c r="N36" s="10">
        <f t="shared" ref="N36" si="6">SUM(B36:M36)</f>
        <v>0</v>
      </c>
      <c r="O36" s="2">
        <v>24</v>
      </c>
    </row>
    <row r="37" spans="1:15" ht="12.95" customHeight="1" thickBot="1" x14ac:dyDescent="0.25">
      <c r="A37" s="5" t="s">
        <v>20</v>
      </c>
      <c r="B37" s="11">
        <f t="shared" ref="B37:G37" si="7">B38+B41</f>
        <v>241412</v>
      </c>
      <c r="C37" s="11">
        <f t="shared" si="7"/>
        <v>298328.12</v>
      </c>
      <c r="D37" s="11">
        <f t="shared" si="7"/>
        <v>0</v>
      </c>
      <c r="E37" s="11">
        <f t="shared" si="7"/>
        <v>0</v>
      </c>
      <c r="F37" s="11">
        <f t="shared" si="7"/>
        <v>0</v>
      </c>
      <c r="G37" s="11">
        <f t="shared" si="7"/>
        <v>0</v>
      </c>
      <c r="H37" s="11">
        <f t="shared" ref="H37:M37" si="8">H38+H41</f>
        <v>0</v>
      </c>
      <c r="I37" s="11">
        <f t="shared" si="8"/>
        <v>0</v>
      </c>
      <c r="J37" s="11">
        <f t="shared" si="8"/>
        <v>0</v>
      </c>
      <c r="K37" s="11">
        <f t="shared" si="8"/>
        <v>0</v>
      </c>
      <c r="L37" s="11">
        <f t="shared" si="8"/>
        <v>0</v>
      </c>
      <c r="M37" s="11">
        <f t="shared" si="8"/>
        <v>0</v>
      </c>
      <c r="N37" s="11">
        <f>N38+N41</f>
        <v>539740.12</v>
      </c>
    </row>
    <row r="38" spans="1:15" ht="12.95" customHeight="1" thickBot="1" x14ac:dyDescent="0.25">
      <c r="A38" s="5" t="s">
        <v>21</v>
      </c>
      <c r="B38" s="11">
        <f t="shared" ref="B38:G38" si="9">SUM(B39:B40)</f>
        <v>29533.07</v>
      </c>
      <c r="C38" s="11">
        <f t="shared" si="9"/>
        <v>90533.9</v>
      </c>
      <c r="D38" s="11">
        <f t="shared" si="9"/>
        <v>0</v>
      </c>
      <c r="E38" s="11">
        <f t="shared" si="9"/>
        <v>0</v>
      </c>
      <c r="F38" s="11">
        <f t="shared" si="9"/>
        <v>0</v>
      </c>
      <c r="G38" s="11">
        <f t="shared" si="9"/>
        <v>0</v>
      </c>
      <c r="H38" s="11">
        <f t="shared" ref="H38:M38" si="10">SUM(H39:H40)</f>
        <v>0</v>
      </c>
      <c r="I38" s="11">
        <f t="shared" si="10"/>
        <v>0</v>
      </c>
      <c r="J38" s="11">
        <f t="shared" si="10"/>
        <v>0</v>
      </c>
      <c r="K38" s="11">
        <f t="shared" si="10"/>
        <v>0</v>
      </c>
      <c r="L38" s="11">
        <f t="shared" si="10"/>
        <v>0</v>
      </c>
      <c r="M38" s="11">
        <f t="shared" si="10"/>
        <v>0</v>
      </c>
      <c r="N38" s="11">
        <f>SUM(N39:N40)</f>
        <v>120066.97</v>
      </c>
    </row>
    <row r="39" spans="1:15" ht="12.95" customHeight="1" thickBot="1" x14ac:dyDescent="0.25">
      <c r="A39" s="8" t="s">
        <v>22</v>
      </c>
      <c r="B39" s="10">
        <f>Jan!B39</f>
        <v>29533.07</v>
      </c>
      <c r="C39" s="10">
        <f>Fev!B39</f>
        <v>90533.9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>
        <f>SUM(B39:M39)</f>
        <v>120066.97</v>
      </c>
      <c r="O39" s="2">
        <v>25</v>
      </c>
    </row>
    <row r="40" spans="1:15" ht="12.95" customHeight="1" thickBot="1" x14ac:dyDescent="0.25">
      <c r="A40" s="8" t="s">
        <v>23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2">
        <v>26</v>
      </c>
    </row>
    <row r="41" spans="1:15" ht="12.95" customHeight="1" thickBot="1" x14ac:dyDescent="0.25">
      <c r="A41" s="9" t="s">
        <v>24</v>
      </c>
      <c r="B41" s="10">
        <f>Jan!B41</f>
        <v>211878.93</v>
      </c>
      <c r="C41" s="10">
        <f>Fev!B41</f>
        <v>207794.22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>
        <f>SUM(B41:M41)</f>
        <v>419673.15</v>
      </c>
      <c r="O41" s="2">
        <v>27</v>
      </c>
    </row>
    <row r="42" spans="1:15" ht="12.95" customHeight="1" thickBot="1" x14ac:dyDescent="0.25">
      <c r="A42" s="5" t="s">
        <v>25</v>
      </c>
      <c r="B42" s="11">
        <f t="shared" ref="B42:M42" si="11">SUM(B43:B45)</f>
        <v>319405.93</v>
      </c>
      <c r="C42" s="11">
        <f t="shared" si="11"/>
        <v>409727.94999999995</v>
      </c>
      <c r="D42" s="11">
        <f t="shared" si="11"/>
        <v>0</v>
      </c>
      <c r="E42" s="11">
        <f t="shared" si="11"/>
        <v>0</v>
      </c>
      <c r="F42" s="11">
        <f t="shared" si="11"/>
        <v>0</v>
      </c>
      <c r="G42" s="11">
        <f t="shared" si="11"/>
        <v>0</v>
      </c>
      <c r="H42" s="11">
        <f t="shared" si="11"/>
        <v>0</v>
      </c>
      <c r="I42" s="11">
        <f t="shared" si="11"/>
        <v>0</v>
      </c>
      <c r="J42" s="11">
        <f t="shared" si="11"/>
        <v>0</v>
      </c>
      <c r="K42" s="11">
        <f t="shared" si="11"/>
        <v>0</v>
      </c>
      <c r="L42" s="11">
        <f t="shared" si="11"/>
        <v>0</v>
      </c>
      <c r="M42" s="11">
        <f t="shared" si="11"/>
        <v>0</v>
      </c>
      <c r="N42" s="11">
        <f>SUM(N43:N45)</f>
        <v>729133.87999999989</v>
      </c>
    </row>
    <row r="43" spans="1:15" ht="12.95" customHeight="1" thickBot="1" x14ac:dyDescent="0.25">
      <c r="A43" s="8" t="s">
        <v>26</v>
      </c>
      <c r="B43" s="10">
        <f>Jan!B43</f>
        <v>301770.15999999997</v>
      </c>
      <c r="C43" s="10">
        <f>Fev!B43</f>
        <v>377885.97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>
        <f>SUM(B43:M43)</f>
        <v>679656.12999999989</v>
      </c>
      <c r="O43" s="2">
        <v>28</v>
      </c>
    </row>
    <row r="44" spans="1:15" ht="12.95" customHeight="1" thickBot="1" x14ac:dyDescent="0.25">
      <c r="A44" s="8" t="s">
        <v>27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2">
        <v>29</v>
      </c>
    </row>
    <row r="45" spans="1:15" ht="12.95" customHeight="1" thickBot="1" x14ac:dyDescent="0.25">
      <c r="A45" s="8" t="s">
        <v>28</v>
      </c>
      <c r="B45" s="10">
        <f>Jan!B45</f>
        <v>17635.77</v>
      </c>
      <c r="C45" s="10">
        <f>Fev!B45</f>
        <v>31841.98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>
        <f>SUM(B45:M45)</f>
        <v>49477.75</v>
      </c>
      <c r="O45" s="2">
        <v>30</v>
      </c>
    </row>
    <row r="46" spans="1:15" ht="12.95" customHeight="1" thickBot="1" x14ac:dyDescent="0.25">
      <c r="A46" s="5" t="s">
        <v>29</v>
      </c>
      <c r="B46" s="11">
        <f t="shared" ref="B46:M46" si="12">SUM(B47:B49)</f>
        <v>0</v>
      </c>
      <c r="C46" s="11">
        <f t="shared" si="12"/>
        <v>0</v>
      </c>
      <c r="D46" s="11">
        <f t="shared" si="12"/>
        <v>0</v>
      </c>
      <c r="E46" s="11">
        <f t="shared" si="12"/>
        <v>0</v>
      </c>
      <c r="F46" s="11">
        <f t="shared" si="12"/>
        <v>0</v>
      </c>
      <c r="G46" s="11">
        <f t="shared" si="12"/>
        <v>0</v>
      </c>
      <c r="H46" s="11">
        <f t="shared" si="12"/>
        <v>0</v>
      </c>
      <c r="I46" s="11">
        <f t="shared" si="12"/>
        <v>0</v>
      </c>
      <c r="J46" s="11">
        <f t="shared" si="12"/>
        <v>0</v>
      </c>
      <c r="K46" s="11">
        <f t="shared" si="12"/>
        <v>0</v>
      </c>
      <c r="L46" s="11">
        <f t="shared" si="12"/>
        <v>0</v>
      </c>
      <c r="M46" s="11">
        <f t="shared" si="12"/>
        <v>0</v>
      </c>
      <c r="N46" s="11">
        <f>SUM(N47:N49)</f>
        <v>0</v>
      </c>
    </row>
    <row r="47" spans="1:15" ht="12.95" customHeight="1" thickBot="1" x14ac:dyDescent="0.25">
      <c r="A47" s="8" t="s">
        <v>30</v>
      </c>
      <c r="B47" s="10">
        <f>Jan!B47</f>
        <v>0</v>
      </c>
      <c r="C47" s="10">
        <f>Fev!B47</f>
        <v>0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>
        <f t="shared" ref="N47:N55" si="13">SUM(B47:M47)</f>
        <v>0</v>
      </c>
      <c r="O47" s="2">
        <v>31</v>
      </c>
    </row>
    <row r="48" spans="1:15" ht="12.95" customHeight="1" thickBot="1" x14ac:dyDescent="0.25">
      <c r="A48" s="8" t="s">
        <v>31</v>
      </c>
      <c r="B48" s="10"/>
      <c r="C48" s="10"/>
      <c r="D48" s="10">
        <f>Mar!B48</f>
        <v>0</v>
      </c>
      <c r="E48" s="10"/>
      <c r="F48" s="10"/>
      <c r="G48" s="10"/>
      <c r="H48" s="10"/>
      <c r="I48" s="10"/>
      <c r="J48" s="10"/>
      <c r="K48" s="10"/>
      <c r="L48" s="10"/>
      <c r="M48" s="10"/>
      <c r="N48" s="10">
        <f t="shared" si="13"/>
        <v>0</v>
      </c>
      <c r="O48" s="2">
        <v>32</v>
      </c>
    </row>
    <row r="49" spans="1:17" ht="12.95" customHeight="1" thickBot="1" x14ac:dyDescent="0.25">
      <c r="A49" s="8" t="s">
        <v>32</v>
      </c>
      <c r="B49" s="10"/>
      <c r="C49" s="10"/>
      <c r="D49" s="10">
        <f>Mar!B49</f>
        <v>0</v>
      </c>
      <c r="E49" s="10"/>
      <c r="F49" s="10"/>
      <c r="G49" s="10"/>
      <c r="H49" s="10"/>
      <c r="I49" s="10"/>
      <c r="J49" s="10"/>
      <c r="K49" s="10"/>
      <c r="L49" s="10"/>
      <c r="M49" s="10"/>
      <c r="N49" s="10">
        <f t="shared" si="13"/>
        <v>0</v>
      </c>
      <c r="O49" s="2">
        <v>33</v>
      </c>
    </row>
    <row r="50" spans="1:17" ht="12.95" customHeight="1" thickBot="1" x14ac:dyDescent="0.25">
      <c r="A50" s="9" t="s">
        <v>33</v>
      </c>
      <c r="B50" s="10">
        <f>Jan!B50</f>
        <v>10502.83</v>
      </c>
      <c r="C50" s="10">
        <f>Fev!B50</f>
        <v>8075.46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>
        <f>SUM(B50:M50)</f>
        <v>18578.29</v>
      </c>
      <c r="O50" s="2">
        <v>34</v>
      </c>
    </row>
    <row r="51" spans="1:17" ht="12.95" customHeight="1" thickBot="1" x14ac:dyDescent="0.25">
      <c r="A51" s="9" t="s">
        <v>34</v>
      </c>
      <c r="B51" s="10">
        <f>Jan!B51</f>
        <v>908.72</v>
      </c>
      <c r="C51" s="10">
        <f>Fev!B51</f>
        <v>788.72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>
        <f>SUM(B51:M51)</f>
        <v>1697.44</v>
      </c>
      <c r="O51" s="2">
        <v>35</v>
      </c>
    </row>
    <row r="52" spans="1:17" ht="12.95" customHeight="1" thickBot="1" x14ac:dyDescent="0.25">
      <c r="A52" s="9" t="s">
        <v>35</v>
      </c>
      <c r="B52" s="10">
        <f>Jan!B52</f>
        <v>284.77999999999997</v>
      </c>
      <c r="C52" s="10">
        <f>Fev!B52</f>
        <v>10.3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>
        <f t="shared" si="13"/>
        <v>295.08</v>
      </c>
      <c r="O52" s="2">
        <v>36</v>
      </c>
    </row>
    <row r="53" spans="1:17" ht="12.95" customHeight="1" thickBot="1" x14ac:dyDescent="0.25">
      <c r="A53" s="9" t="s">
        <v>36</v>
      </c>
      <c r="B53" s="10">
        <f>Jan!B53</f>
        <v>0</v>
      </c>
      <c r="C53" s="10">
        <f>Fev!B53</f>
        <v>0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>
        <f t="shared" si="13"/>
        <v>0</v>
      </c>
      <c r="O53" s="2">
        <v>37</v>
      </c>
    </row>
    <row r="54" spans="1:17" ht="12.95" customHeight="1" thickBot="1" x14ac:dyDescent="0.25">
      <c r="A54" s="9" t="s">
        <v>37</v>
      </c>
      <c r="B54" s="10">
        <f>Jan!B54</f>
        <v>0</v>
      </c>
      <c r="C54" s="10">
        <f>Fev!B54</f>
        <v>0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>
        <f t="shared" si="13"/>
        <v>0</v>
      </c>
      <c r="O54" s="2">
        <v>38</v>
      </c>
    </row>
    <row r="55" spans="1:17" ht="12.95" customHeight="1" thickBot="1" x14ac:dyDescent="0.25">
      <c r="A55" s="9" t="s">
        <v>38</v>
      </c>
      <c r="B55" s="10">
        <f>Jan!B55</f>
        <v>0</v>
      </c>
      <c r="C55" s="10">
        <f>Fev!B55</f>
        <v>0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>
        <f t="shared" si="13"/>
        <v>0</v>
      </c>
      <c r="O55" s="2">
        <v>39</v>
      </c>
    </row>
    <row r="56" spans="1:17" ht="12.95" customHeight="1" thickBot="1" x14ac:dyDescent="0.25">
      <c r="A56" s="9" t="s">
        <v>39</v>
      </c>
      <c r="B56" s="10">
        <f>Jan!B56</f>
        <v>1381325.32</v>
      </c>
      <c r="C56" s="10">
        <f>Fev!B56</f>
        <v>1535209.99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>
        <f>SUM(B56:M56)</f>
        <v>2916535.31</v>
      </c>
      <c r="O56" s="2">
        <v>40</v>
      </c>
    </row>
    <row r="57" spans="1:17" ht="12.95" customHeight="1" thickBot="1" x14ac:dyDescent="0.25">
      <c r="A57" s="5" t="s">
        <v>40</v>
      </c>
      <c r="B57" s="11">
        <f>B26+B37+B42+B46+B50+B51+B52+B53+B54+B55+B56</f>
        <v>2711812.3200000003</v>
      </c>
      <c r="C57" s="11">
        <f>C26+C37+C42+C46+C50+C51+C52+C53+C54+C55+C56</f>
        <v>3104972.63</v>
      </c>
      <c r="D57" s="11">
        <f>D26+D37+D42+D46+D50+D51+D52+D53+D54+D55+D56</f>
        <v>0</v>
      </c>
      <c r="E57" s="11">
        <f t="shared" ref="E57:M57" si="14">E26+E37+E42+E46+E50+E51+E52+E53+E54+E55+E56</f>
        <v>0</v>
      </c>
      <c r="F57" s="11">
        <f t="shared" si="14"/>
        <v>0</v>
      </c>
      <c r="G57" s="11">
        <f t="shared" ref="G57:H57" si="15">G26+G37+G42+G46+G50+G51+G52+G53+G54+G55+G56</f>
        <v>0</v>
      </c>
      <c r="H57" s="11">
        <f t="shared" si="15"/>
        <v>0</v>
      </c>
      <c r="I57" s="11">
        <f t="shared" si="14"/>
        <v>0</v>
      </c>
      <c r="J57" s="11">
        <f t="shared" si="14"/>
        <v>0</v>
      </c>
      <c r="K57" s="11">
        <f t="shared" si="14"/>
        <v>0</v>
      </c>
      <c r="L57" s="11">
        <f t="shared" si="14"/>
        <v>0</v>
      </c>
      <c r="M57" s="11">
        <f t="shared" si="14"/>
        <v>0</v>
      </c>
      <c r="N57" s="11">
        <f>N26+N37+N42+N46+N50+N51+N52+N53+N54+N55+N56</f>
        <v>5816784.9500000002</v>
      </c>
      <c r="Q57" s="17"/>
    </row>
    <row r="58" spans="1:17" ht="12.95" customHeight="1" thickBot="1" x14ac:dyDescent="0.25">
      <c r="A58" s="5" t="s">
        <v>41</v>
      </c>
      <c r="B58" s="11">
        <f>B24-B57</f>
        <v>725547.39999999991</v>
      </c>
      <c r="C58" s="11">
        <f>C24-C57</f>
        <v>333373.52</v>
      </c>
      <c r="D58" s="11">
        <f>D24-D57</f>
        <v>0</v>
      </c>
      <c r="E58" s="11">
        <f t="shared" ref="E58:M58" si="16">E24-E57</f>
        <v>0</v>
      </c>
      <c r="F58" s="11">
        <f t="shared" si="16"/>
        <v>0</v>
      </c>
      <c r="G58" s="11">
        <f t="shared" ref="G58:H58" si="17">G24-G57</f>
        <v>0</v>
      </c>
      <c r="H58" s="11">
        <f t="shared" si="17"/>
        <v>0</v>
      </c>
      <c r="I58" s="11">
        <f t="shared" si="16"/>
        <v>0</v>
      </c>
      <c r="J58" s="11">
        <f t="shared" si="16"/>
        <v>0</v>
      </c>
      <c r="K58" s="11">
        <f t="shared" si="16"/>
        <v>0</v>
      </c>
      <c r="L58" s="11">
        <f t="shared" si="16"/>
        <v>0</v>
      </c>
      <c r="M58" s="11">
        <f t="shared" si="16"/>
        <v>0</v>
      </c>
      <c r="N58" s="11">
        <f>N24-N57</f>
        <v>1058920.919999999</v>
      </c>
    </row>
    <row r="59" spans="1:17" ht="12.95" customHeight="1" thickBot="1" x14ac:dyDescent="0.25">
      <c r="A59" s="5" t="s">
        <v>42</v>
      </c>
      <c r="B59" s="11">
        <f>B8+B24-B57</f>
        <v>10918389.610000009</v>
      </c>
      <c r="C59" s="11">
        <f>C8+C24-C57</f>
        <v>11252161.430000007</v>
      </c>
      <c r="D59" s="11">
        <f t="shared" ref="D59:L59" si="18">D8+D24-D57</f>
        <v>11252161.430000007</v>
      </c>
      <c r="E59" s="11">
        <f t="shared" si="18"/>
        <v>11611547.580000008</v>
      </c>
      <c r="F59" s="11">
        <f>F8+F24-F57</f>
        <v>12731200.250000007</v>
      </c>
      <c r="G59" s="11">
        <f t="shared" si="18"/>
        <v>12884965.850000007</v>
      </c>
      <c r="H59" s="11">
        <f t="shared" ref="H59" si="19">H8+H24-H57</f>
        <v>13820824.370000008</v>
      </c>
      <c r="I59" s="11">
        <f t="shared" si="18"/>
        <v>13698885.170000007</v>
      </c>
      <c r="J59" s="11">
        <f t="shared" si="18"/>
        <v>14469404.620000008</v>
      </c>
      <c r="K59" s="11">
        <f t="shared" si="18"/>
        <v>15613217.610000009</v>
      </c>
      <c r="L59" s="11">
        <f t="shared" si="18"/>
        <v>16185459.500000009</v>
      </c>
      <c r="M59" s="11">
        <f>M8+M24-M57</f>
        <v>13199899.65000001</v>
      </c>
      <c r="N59" s="11"/>
    </row>
    <row r="60" spans="1:17" ht="12.95" customHeight="1" x14ac:dyDescent="0.2">
      <c r="A60" s="6"/>
    </row>
    <row r="61" spans="1:17" ht="12.95" customHeight="1" thickBot="1" x14ac:dyDescent="0.25">
      <c r="A61" s="65" t="s">
        <v>43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</row>
    <row r="62" spans="1:17" ht="12.95" customHeight="1" thickBot="1" x14ac:dyDescent="0.25">
      <c r="A62" s="62"/>
      <c r="B62" s="3" t="str">
        <f>B6</f>
        <v>Janeiro</v>
      </c>
      <c r="C62" s="3" t="str">
        <f>C6</f>
        <v>Fevereiro</v>
      </c>
      <c r="D62" s="3" t="str">
        <f t="shared" ref="D62:M62" si="20">D6</f>
        <v>Março</v>
      </c>
      <c r="E62" s="3" t="str">
        <f t="shared" si="20"/>
        <v>Abril</v>
      </c>
      <c r="F62" s="3" t="str">
        <f t="shared" si="20"/>
        <v>Maio</v>
      </c>
      <c r="G62" s="3" t="str">
        <f t="shared" si="20"/>
        <v>Junho</v>
      </c>
      <c r="H62" s="3" t="str">
        <f t="shared" si="20"/>
        <v>Julho</v>
      </c>
      <c r="I62" s="3" t="str">
        <f t="shared" si="20"/>
        <v>Agosto</v>
      </c>
      <c r="J62" s="3" t="str">
        <f t="shared" si="20"/>
        <v>Setembro</v>
      </c>
      <c r="K62" s="3" t="str">
        <f t="shared" si="20"/>
        <v>Outubro</v>
      </c>
      <c r="L62" s="3" t="str">
        <f t="shared" si="20"/>
        <v>Novembro</v>
      </c>
      <c r="M62" s="3" t="str">
        <f t="shared" si="20"/>
        <v>Dezembro</v>
      </c>
    </row>
    <row r="63" spans="1:17" ht="12.95" customHeight="1" thickBot="1" x14ac:dyDescent="0.25">
      <c r="A63" s="63"/>
      <c r="B63" s="3" t="s">
        <v>3</v>
      </c>
      <c r="C63" s="3" t="s">
        <v>3</v>
      </c>
      <c r="D63" s="3" t="s">
        <v>3</v>
      </c>
      <c r="E63" s="3" t="s">
        <v>3</v>
      </c>
      <c r="F63" s="3" t="s">
        <v>3</v>
      </c>
      <c r="G63" s="3" t="s">
        <v>3</v>
      </c>
      <c r="H63" s="3" t="s">
        <v>3</v>
      </c>
      <c r="I63" s="3" t="s">
        <v>3</v>
      </c>
      <c r="J63" s="3" t="s">
        <v>3</v>
      </c>
      <c r="K63" s="3" t="s">
        <v>3</v>
      </c>
      <c r="L63" s="3" t="s">
        <v>3</v>
      </c>
      <c r="M63" s="3" t="s">
        <v>3</v>
      </c>
    </row>
    <row r="64" spans="1:17" ht="12.95" customHeight="1" thickBot="1" x14ac:dyDescent="0.25">
      <c r="A64" s="4" t="s">
        <v>44</v>
      </c>
      <c r="B64" s="10">
        <f>Jan!B64</f>
        <v>0</v>
      </c>
      <c r="C64" s="10">
        <f>Fev!B64</f>
        <v>0</v>
      </c>
      <c r="D64" s="10">
        <f>Mar!B64</f>
        <v>0</v>
      </c>
      <c r="E64" s="10">
        <f>Mar!C64</f>
        <v>0</v>
      </c>
      <c r="F64" s="10"/>
      <c r="G64" s="10"/>
      <c r="H64" s="10"/>
      <c r="I64" s="10"/>
      <c r="J64" s="10"/>
      <c r="K64" s="10"/>
      <c r="L64" s="10"/>
      <c r="M64" s="10"/>
    </row>
    <row r="65" spans="1:15" ht="12.95" customHeight="1" thickBot="1" x14ac:dyDescent="0.25">
      <c r="A65" s="4" t="s">
        <v>45</v>
      </c>
      <c r="B65" s="10">
        <f>Jan!B65</f>
        <v>10918787.91</v>
      </c>
      <c r="C65" s="10">
        <f>Fev!B65</f>
        <v>11252161.43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5" ht="12.95" customHeight="1" thickBot="1" x14ac:dyDescent="0.25">
      <c r="A66" s="4" t="s">
        <v>46</v>
      </c>
      <c r="B66" s="10">
        <f>Jan!B66</f>
        <v>0</v>
      </c>
      <c r="C66" s="10">
        <f>Fev!B66</f>
        <v>0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5" ht="12.95" customHeight="1" thickBot="1" x14ac:dyDescent="0.25">
      <c r="A67" s="5" t="s">
        <v>47</v>
      </c>
      <c r="B67" s="11">
        <f>SUM(B64:B66)</f>
        <v>10918787.91</v>
      </c>
      <c r="C67" s="11">
        <f>SUM(C64:C66)</f>
        <v>11252161.43</v>
      </c>
      <c r="D67" s="11">
        <f t="shared" ref="D67:L67" si="21">SUM(D64:D66)</f>
        <v>0</v>
      </c>
      <c r="E67" s="11">
        <f t="shared" si="21"/>
        <v>0</v>
      </c>
      <c r="F67" s="11">
        <f>SUM(F64:F66)</f>
        <v>0</v>
      </c>
      <c r="G67" s="11">
        <f t="shared" si="21"/>
        <v>0</v>
      </c>
      <c r="H67" s="11">
        <f t="shared" si="21"/>
        <v>0</v>
      </c>
      <c r="I67" s="11">
        <f t="shared" si="21"/>
        <v>0</v>
      </c>
      <c r="J67" s="11">
        <f t="shared" si="21"/>
        <v>0</v>
      </c>
      <c r="K67" s="11">
        <f t="shared" si="21"/>
        <v>0</v>
      </c>
      <c r="L67" s="11">
        <f t="shared" si="21"/>
        <v>0</v>
      </c>
      <c r="M67" s="11">
        <f>SUM(M64:M66)</f>
        <v>0</v>
      </c>
      <c r="N67" s="17"/>
    </row>
    <row r="68" spans="1:15" ht="12.95" customHeight="1" x14ac:dyDescent="0.2">
      <c r="A68" s="6"/>
    </row>
    <row r="69" spans="1:15" ht="12.95" customHeight="1" thickBot="1" x14ac:dyDescent="0.25">
      <c r="A69" s="41" t="s">
        <v>48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</row>
    <row r="70" spans="1:15" ht="12.95" customHeight="1" thickBot="1" x14ac:dyDescent="0.25">
      <c r="A70" s="62"/>
      <c r="B70" s="3" t="str">
        <f>B62</f>
        <v>Janeiro</v>
      </c>
      <c r="C70" s="3" t="str">
        <f>C62</f>
        <v>Fevereiro</v>
      </c>
      <c r="D70" s="3" t="str">
        <f t="shared" ref="D70:L70" si="22">D62</f>
        <v>Março</v>
      </c>
      <c r="E70" s="3" t="str">
        <f t="shared" si="22"/>
        <v>Abril</v>
      </c>
      <c r="F70" s="3" t="str">
        <f t="shared" si="22"/>
        <v>Maio</v>
      </c>
      <c r="G70" s="3" t="str">
        <f t="shared" si="22"/>
        <v>Junho</v>
      </c>
      <c r="H70" s="3" t="str">
        <f t="shared" si="22"/>
        <v>Julho</v>
      </c>
      <c r="I70" s="3" t="str">
        <f t="shared" si="22"/>
        <v>Agosto</v>
      </c>
      <c r="J70" s="3" t="str">
        <f t="shared" si="22"/>
        <v>Setembro</v>
      </c>
      <c r="K70" s="3" t="str">
        <f t="shared" si="22"/>
        <v>Outubro</v>
      </c>
      <c r="L70" s="3" t="str">
        <f t="shared" si="22"/>
        <v>Novembro</v>
      </c>
      <c r="M70" s="3" t="str">
        <f>M62</f>
        <v>Dezembro</v>
      </c>
    </row>
    <row r="71" spans="1:15" ht="12.95" customHeight="1" thickBot="1" x14ac:dyDescent="0.25">
      <c r="A71" s="63"/>
      <c r="B71" s="3" t="s">
        <v>3</v>
      </c>
      <c r="C71" s="3" t="s">
        <v>3</v>
      </c>
      <c r="D71" s="3" t="s">
        <v>3</v>
      </c>
      <c r="E71" s="3" t="s">
        <v>3</v>
      </c>
      <c r="F71" s="3" t="s">
        <v>3</v>
      </c>
      <c r="G71" s="3" t="s">
        <v>3</v>
      </c>
      <c r="H71" s="3" t="s">
        <v>3</v>
      </c>
      <c r="I71" s="3" t="s">
        <v>3</v>
      </c>
      <c r="J71" s="3" t="s">
        <v>3</v>
      </c>
      <c r="K71" s="3" t="s">
        <v>3</v>
      </c>
      <c r="L71" s="3" t="s">
        <v>3</v>
      </c>
      <c r="M71" s="3" t="s">
        <v>3</v>
      </c>
    </row>
    <row r="72" spans="1:15" ht="12.95" customHeight="1" thickBot="1" x14ac:dyDescent="0.25">
      <c r="A72" s="4" t="s">
        <v>49</v>
      </c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25"/>
    </row>
    <row r="73" spans="1:15" ht="12.95" customHeight="1" thickBot="1" x14ac:dyDescent="0.25">
      <c r="A73" s="4" t="s">
        <v>50</v>
      </c>
      <c r="B73" s="14">
        <f>Jan!B73</f>
        <v>10918787.91</v>
      </c>
      <c r="C73" s="10">
        <f>Fev!B73</f>
        <v>11252161.43</v>
      </c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25"/>
    </row>
    <row r="74" spans="1:15" ht="12.95" customHeight="1" thickBot="1" x14ac:dyDescent="0.25">
      <c r="A74" s="5" t="s">
        <v>47</v>
      </c>
      <c r="B74" s="11">
        <f>SUM(B72:B73)</f>
        <v>10918787.91</v>
      </c>
      <c r="C74" s="11">
        <f>SUM(C72:C73)</f>
        <v>11252161.43</v>
      </c>
      <c r="D74" s="11">
        <f t="shared" ref="D74:L74" si="23">SUM(D72:D73)</f>
        <v>0</v>
      </c>
      <c r="E74" s="11">
        <f t="shared" si="23"/>
        <v>0</v>
      </c>
      <c r="F74" s="11">
        <f>SUM(F72:F73)</f>
        <v>0</v>
      </c>
      <c r="G74" s="11">
        <f t="shared" si="23"/>
        <v>0</v>
      </c>
      <c r="H74" s="11">
        <f t="shared" si="23"/>
        <v>0</v>
      </c>
      <c r="I74" s="11">
        <f t="shared" si="23"/>
        <v>0</v>
      </c>
      <c r="J74" s="11">
        <f>SUM(J72:J73)</f>
        <v>0</v>
      </c>
      <c r="K74" s="11">
        <f t="shared" si="23"/>
        <v>0</v>
      </c>
      <c r="L74" s="11">
        <f t="shared" si="23"/>
        <v>0</v>
      </c>
      <c r="M74" s="11">
        <f>SUM(M72:M73)</f>
        <v>0</v>
      </c>
      <c r="N74" s="17"/>
    </row>
    <row r="75" spans="1:15" ht="12.95" customHeight="1" x14ac:dyDescent="0.2">
      <c r="A75" s="6"/>
    </row>
    <row r="76" spans="1:15" ht="12.95" customHeight="1" x14ac:dyDescent="0.2">
      <c r="A76" s="6"/>
    </row>
    <row r="77" spans="1:15" ht="12.95" customHeight="1" x14ac:dyDescent="0.2"/>
  </sheetData>
  <mergeCells count="9">
    <mergeCell ref="O6:O7"/>
    <mergeCell ref="A61:P61"/>
    <mergeCell ref="A62:A63"/>
    <mergeCell ref="A70:A71"/>
    <mergeCell ref="A1:N1"/>
    <mergeCell ref="A2:N2"/>
    <mergeCell ref="A3:N3"/>
    <mergeCell ref="A4:N4"/>
    <mergeCell ref="A6:A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7841-58FF-43C5-B9E8-565738BD28FC}">
  <sheetPr>
    <tabColor rgb="FF00B050"/>
    <pageSetUpPr fitToPage="1"/>
  </sheetPr>
  <dimension ref="A1:K85"/>
  <sheetViews>
    <sheetView showGridLines="0" tabSelected="1" zoomScaleNormal="10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4" width="3.28515625" style="2" bestFit="1" customWidth="1"/>
    <col min="5" max="5" width="9.85546875" style="2" customWidth="1"/>
    <col min="6" max="6" width="27" style="2" bestFit="1" customWidth="1"/>
    <col min="7" max="7" width="15" style="2" customWidth="1"/>
    <col min="8" max="8" width="4.28515625" style="2" bestFit="1" customWidth="1"/>
    <col min="9" max="9" width="10.85546875" style="2" bestFit="1" customWidth="1"/>
    <col min="10" max="10" width="23.28515625" style="2" bestFit="1" customWidth="1"/>
    <col min="11" max="11" width="15.140625" style="2" bestFit="1" customWidth="1"/>
    <col min="12" max="12" width="10.85546875" style="2" bestFit="1" customWidth="1"/>
    <col min="13" max="16384" width="9.140625" style="2"/>
  </cols>
  <sheetData>
    <row r="1" spans="1:11" ht="12.95" customHeight="1" x14ac:dyDescent="0.2">
      <c r="A1" s="60" t="s">
        <v>149</v>
      </c>
      <c r="B1" s="60"/>
      <c r="C1" s="60"/>
      <c r="D1" s="60"/>
      <c r="E1" s="60"/>
    </row>
    <row r="2" spans="1:11" ht="12.95" customHeight="1" x14ac:dyDescent="0.2">
      <c r="A2" s="61" t="s">
        <v>0</v>
      </c>
      <c r="B2" s="61"/>
      <c r="C2" s="61"/>
      <c r="D2" s="61"/>
      <c r="E2" s="61"/>
    </row>
    <row r="3" spans="1:11" ht="12.95" customHeight="1" thickBot="1" x14ac:dyDescent="0.25">
      <c r="A3" s="61" t="s">
        <v>218</v>
      </c>
      <c r="B3" s="61"/>
      <c r="C3" s="61"/>
      <c r="D3" s="61"/>
      <c r="E3" s="61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2"/>
      <c r="B6" s="3" t="s">
        <v>117</v>
      </c>
      <c r="C6" s="66" t="s">
        <v>54</v>
      </c>
    </row>
    <row r="7" spans="1:11" ht="12.95" customHeight="1" thickBot="1" x14ac:dyDescent="0.25">
      <c r="A7" s="63"/>
      <c r="B7" s="3" t="s">
        <v>3</v>
      </c>
      <c r="C7" s="66"/>
    </row>
    <row r="8" spans="1:11" ht="12.95" customHeight="1" thickBot="1" x14ac:dyDescent="0.25">
      <c r="A8" s="4" t="s">
        <v>4</v>
      </c>
      <c r="B8" s="11">
        <f>Jan!B59</f>
        <v>10918787.910000008</v>
      </c>
      <c r="F8" s="18" t="s">
        <v>107</v>
      </c>
      <c r="G8" s="21" t="s">
        <v>129</v>
      </c>
      <c r="H8" s="21" t="s">
        <v>54</v>
      </c>
      <c r="I8" s="31"/>
      <c r="J8" s="58" t="s">
        <v>101</v>
      </c>
      <c r="K8" s="58"/>
    </row>
    <row r="9" spans="1:11" ht="12.95" customHeight="1" thickBot="1" x14ac:dyDescent="0.25">
      <c r="A9" s="7" t="s">
        <v>5</v>
      </c>
      <c r="B9" s="14"/>
      <c r="F9" s="56" t="s">
        <v>130</v>
      </c>
      <c r="G9" s="57">
        <v>3339477.79</v>
      </c>
      <c r="H9" s="44">
        <v>1</v>
      </c>
      <c r="I9" s="33"/>
      <c r="J9" s="18" t="s">
        <v>70</v>
      </c>
      <c r="K9" s="26" t="s">
        <v>219</v>
      </c>
    </row>
    <row r="10" spans="1:11" ht="12.95" customHeight="1" thickBot="1" x14ac:dyDescent="0.25">
      <c r="A10" s="4" t="s">
        <v>6</v>
      </c>
      <c r="B10" s="10">
        <v>3339477.79</v>
      </c>
      <c r="C10" s="2">
        <v>1</v>
      </c>
      <c r="F10" s="56" t="s">
        <v>72</v>
      </c>
      <c r="G10" s="57">
        <v>98868.36</v>
      </c>
      <c r="H10" s="44">
        <v>7</v>
      </c>
      <c r="I10" s="33"/>
      <c r="J10" s="18" t="s">
        <v>220</v>
      </c>
      <c r="K10" s="26" t="s">
        <v>221</v>
      </c>
    </row>
    <row r="11" spans="1:11" ht="12.95" customHeight="1" thickBot="1" x14ac:dyDescent="0.25">
      <c r="A11" s="4" t="s">
        <v>88</v>
      </c>
      <c r="B11" s="10"/>
      <c r="C11" s="2">
        <v>2</v>
      </c>
      <c r="F11" s="56" t="s">
        <v>73</v>
      </c>
      <c r="G11" s="57">
        <v>-352099.26</v>
      </c>
      <c r="H11" s="44">
        <v>15</v>
      </c>
      <c r="I11" s="33"/>
      <c r="J11" s="18" t="s">
        <v>71</v>
      </c>
      <c r="K11" s="26" t="s">
        <v>222</v>
      </c>
    </row>
    <row r="12" spans="1:11" ht="12.95" customHeight="1" thickBot="1" x14ac:dyDescent="0.25">
      <c r="A12" s="4" t="s">
        <v>89</v>
      </c>
      <c r="B12" s="10"/>
      <c r="C12" s="2">
        <v>3</v>
      </c>
      <c r="F12" s="56" t="s">
        <v>74</v>
      </c>
      <c r="G12" s="57">
        <v>-239094.76</v>
      </c>
      <c r="H12" s="44">
        <v>16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56" t="s">
        <v>75</v>
      </c>
      <c r="G13" s="57">
        <v>-118174.90999999999</v>
      </c>
      <c r="H13" s="44">
        <v>18</v>
      </c>
      <c r="I13" s="33"/>
      <c r="J13" s="58" t="s">
        <v>102</v>
      </c>
      <c r="K13" s="58"/>
    </row>
    <row r="14" spans="1:11" ht="12.95" customHeight="1" thickBot="1" x14ac:dyDescent="0.25">
      <c r="A14" s="4" t="s">
        <v>91</v>
      </c>
      <c r="B14" s="10"/>
      <c r="C14" s="2">
        <v>5</v>
      </c>
      <c r="F14" s="56" t="s">
        <v>86</v>
      </c>
      <c r="G14" s="57">
        <v>-77364.37</v>
      </c>
      <c r="H14" s="44">
        <v>19</v>
      </c>
      <c r="I14" s="33"/>
      <c r="J14" s="18" t="s">
        <v>114</v>
      </c>
      <c r="K14" s="26">
        <v>5241066.9800000004</v>
      </c>
    </row>
    <row r="15" spans="1:11" ht="12.95" customHeight="1" thickBot="1" x14ac:dyDescent="0.25">
      <c r="A15" s="4" t="s">
        <v>92</v>
      </c>
      <c r="B15" s="10"/>
      <c r="C15" s="2">
        <v>6</v>
      </c>
      <c r="F15" s="56" t="s">
        <v>77</v>
      </c>
      <c r="G15" s="57">
        <v>-66098.790000000008</v>
      </c>
      <c r="H15" s="44">
        <v>21</v>
      </c>
      <c r="I15" s="33"/>
      <c r="J15" s="18" t="s">
        <v>145</v>
      </c>
      <c r="K15" s="26">
        <v>6011094.4500000002</v>
      </c>
    </row>
    <row r="16" spans="1:11" ht="12.95" customHeight="1" thickBot="1" x14ac:dyDescent="0.25">
      <c r="A16" s="4" t="s">
        <v>7</v>
      </c>
      <c r="B16" s="10">
        <v>98868.36</v>
      </c>
      <c r="C16" s="2">
        <v>7</v>
      </c>
      <c r="F16" s="56" t="s">
        <v>78</v>
      </c>
      <c r="G16" s="57">
        <v>-90533.900000000023</v>
      </c>
      <c r="H16" s="44">
        <v>25</v>
      </c>
      <c r="I16" s="33"/>
      <c r="J16" s="18" t="s">
        <v>106</v>
      </c>
      <c r="K16" s="26">
        <v>0</v>
      </c>
    </row>
    <row r="17" spans="1:11" ht="12.95" customHeight="1" thickBot="1" x14ac:dyDescent="0.25">
      <c r="A17" s="4" t="s">
        <v>93</v>
      </c>
      <c r="B17" s="10"/>
      <c r="C17" s="2">
        <v>8</v>
      </c>
      <c r="F17" s="56" t="s">
        <v>79</v>
      </c>
      <c r="G17" s="57">
        <v>-207794.22000000006</v>
      </c>
      <c r="H17" s="44">
        <v>27</v>
      </c>
      <c r="I17" s="33"/>
      <c r="J17" s="30"/>
      <c r="K17" s="26">
        <f>SUM(K14:K16)</f>
        <v>11252161.43</v>
      </c>
    </row>
    <row r="18" spans="1:11" ht="12.95" customHeight="1" thickBot="1" x14ac:dyDescent="0.25">
      <c r="A18" s="4" t="s">
        <v>94</v>
      </c>
      <c r="B18" s="10"/>
      <c r="C18" s="2">
        <v>9</v>
      </c>
      <c r="F18" s="56" t="s">
        <v>80</v>
      </c>
      <c r="G18" s="57">
        <v>-377885.96999999991</v>
      </c>
      <c r="H18" s="44">
        <v>28</v>
      </c>
      <c r="I18" s="33"/>
    </row>
    <row r="19" spans="1:11" ht="12.95" customHeight="1" thickBot="1" x14ac:dyDescent="0.25">
      <c r="A19" s="4" t="s">
        <v>95</v>
      </c>
      <c r="B19" s="10"/>
      <c r="C19" s="2">
        <v>10</v>
      </c>
      <c r="F19" s="56" t="s">
        <v>81</v>
      </c>
      <c r="G19" s="57">
        <v>-31841.980000000007</v>
      </c>
      <c r="H19" s="44">
        <v>30</v>
      </c>
      <c r="I19" s="33"/>
    </row>
    <row r="20" spans="1:11" ht="12.95" customHeight="1" thickBot="1" x14ac:dyDescent="0.25">
      <c r="A20" s="4" t="s">
        <v>8</v>
      </c>
      <c r="B20" s="10"/>
      <c r="C20" s="2">
        <v>11</v>
      </c>
      <c r="F20" s="56" t="s">
        <v>82</v>
      </c>
      <c r="G20" s="57">
        <v>-8075.46</v>
      </c>
      <c r="H20" s="44">
        <v>34</v>
      </c>
      <c r="I20" s="33"/>
    </row>
    <row r="21" spans="1:11" ht="12.95" customHeight="1" thickBot="1" x14ac:dyDescent="0.25">
      <c r="A21" s="4" t="s">
        <v>96</v>
      </c>
      <c r="B21" s="10"/>
      <c r="C21" s="2">
        <v>12</v>
      </c>
      <c r="F21" s="56" t="s">
        <v>83</v>
      </c>
      <c r="G21" s="57">
        <v>-788.72</v>
      </c>
      <c r="H21" s="44">
        <v>35</v>
      </c>
      <c r="I21" s="33"/>
    </row>
    <row r="22" spans="1:11" ht="12.95" customHeight="1" thickBot="1" x14ac:dyDescent="0.25">
      <c r="A22" s="4" t="s">
        <v>97</v>
      </c>
      <c r="B22" s="10"/>
      <c r="C22" s="2">
        <v>13</v>
      </c>
      <c r="F22" s="56" t="s">
        <v>84</v>
      </c>
      <c r="G22" s="57">
        <v>-10.299999999999999</v>
      </c>
      <c r="H22" s="44">
        <v>36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56" t="s">
        <v>85</v>
      </c>
      <c r="G23" s="57">
        <v>-1534209.9900000002</v>
      </c>
      <c r="H23" s="44">
        <v>40</v>
      </c>
      <c r="I23" s="33"/>
    </row>
    <row r="24" spans="1:11" ht="12.95" customHeight="1" thickBot="1" x14ac:dyDescent="0.25">
      <c r="A24" s="5" t="s">
        <v>9</v>
      </c>
      <c r="B24" s="11">
        <f>SUM(B10:B23)</f>
        <v>3438346.15</v>
      </c>
      <c r="F24" s="56" t="s">
        <v>225</v>
      </c>
      <c r="G24" s="57">
        <v>-1000</v>
      </c>
      <c r="H24" s="44">
        <v>40</v>
      </c>
      <c r="I24" s="34"/>
    </row>
    <row r="25" spans="1:11" ht="12.95" customHeight="1" thickBot="1" x14ac:dyDescent="0.25">
      <c r="A25" s="7" t="s">
        <v>10</v>
      </c>
      <c r="B25" s="14"/>
      <c r="F25" s="19" t="s">
        <v>56</v>
      </c>
      <c r="G25" s="20">
        <f>SUBTOTAL(9,G9:G24)</f>
        <v>333373.51999999932</v>
      </c>
      <c r="H25" s="20"/>
      <c r="I25" s="33"/>
    </row>
    <row r="26" spans="1:11" ht="12.95" customHeight="1" thickBot="1" x14ac:dyDescent="0.25">
      <c r="A26" s="5" t="s">
        <v>11</v>
      </c>
      <c r="B26" s="11">
        <f>SUM(B27:B36)</f>
        <v>852832.09000000008</v>
      </c>
      <c r="F26" s="23"/>
      <c r="G26" s="16"/>
      <c r="H26" s="12"/>
      <c r="I26" s="33"/>
    </row>
    <row r="27" spans="1:11" ht="12.95" customHeight="1" thickBot="1" x14ac:dyDescent="0.25">
      <c r="A27" s="8" t="s">
        <v>12</v>
      </c>
      <c r="B27" s="10">
        <f>352099.26-B29</f>
        <v>323833.45</v>
      </c>
      <c r="C27" s="2">
        <v>15</v>
      </c>
      <c r="I27" s="33"/>
    </row>
    <row r="28" spans="1:11" ht="12.95" customHeight="1" thickBot="1" x14ac:dyDescent="0.25">
      <c r="A28" s="8" t="s">
        <v>13</v>
      </c>
      <c r="B28" s="10">
        <v>239094.76</v>
      </c>
      <c r="C28" s="2">
        <v>16</v>
      </c>
      <c r="I28" s="32"/>
    </row>
    <row r="29" spans="1:11" ht="12.95" customHeight="1" thickBot="1" x14ac:dyDescent="0.25">
      <c r="A29" s="8" t="s">
        <v>14</v>
      </c>
      <c r="B29" s="10">
        <v>28265.809999999998</v>
      </c>
      <c r="C29" s="2">
        <v>17</v>
      </c>
    </row>
    <row r="30" spans="1:11" ht="12.95" customHeight="1" thickBot="1" x14ac:dyDescent="0.25">
      <c r="A30" s="8" t="s">
        <v>15</v>
      </c>
      <c r="B30" s="10">
        <f>118174.91-10978.24</f>
        <v>107196.67</v>
      </c>
      <c r="C30" s="2">
        <v>18</v>
      </c>
    </row>
    <row r="31" spans="1:11" ht="12.95" customHeight="1" thickBot="1" x14ac:dyDescent="0.25">
      <c r="A31" s="8" t="s">
        <v>16</v>
      </c>
      <c r="B31" s="10">
        <v>77364.37</v>
      </c>
      <c r="C31" s="2">
        <v>19</v>
      </c>
    </row>
    <row r="32" spans="1:11" ht="12.95" customHeight="1" thickBot="1" x14ac:dyDescent="0.25">
      <c r="A32" s="8" t="s">
        <v>17</v>
      </c>
      <c r="B32" s="10"/>
      <c r="C32" s="2">
        <v>20</v>
      </c>
    </row>
    <row r="33" spans="1:11" ht="12.95" customHeight="1" thickBot="1" x14ac:dyDescent="0.25">
      <c r="A33" s="8" t="s">
        <v>18</v>
      </c>
      <c r="B33" s="10">
        <f>66098.79+10978.24</f>
        <v>77077.03</v>
      </c>
      <c r="C33" s="2">
        <v>21</v>
      </c>
      <c r="F33" s="59" t="s">
        <v>223</v>
      </c>
      <c r="G33" s="59"/>
      <c r="H33" s="59"/>
      <c r="I33" s="28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57</v>
      </c>
      <c r="G34" s="40">
        <v>6111.62</v>
      </c>
      <c r="H34" s="12">
        <v>21</v>
      </c>
      <c r="I34" s="16"/>
    </row>
    <row r="35" spans="1:11" ht="12.95" customHeight="1" thickBot="1" x14ac:dyDescent="0.25">
      <c r="A35" s="8" t="s">
        <v>99</v>
      </c>
      <c r="B35" s="10"/>
      <c r="C35" s="2">
        <v>23</v>
      </c>
      <c r="F35" s="12" t="s">
        <v>58</v>
      </c>
      <c r="G35" s="24">
        <v>4866.62</v>
      </c>
      <c r="H35" s="12">
        <v>21</v>
      </c>
      <c r="I35" s="12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59</v>
      </c>
      <c r="G36" s="24"/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298328.12</v>
      </c>
      <c r="F37" s="12" t="s">
        <v>60</v>
      </c>
      <c r="G37" s="24"/>
      <c r="H37" s="12">
        <v>20</v>
      </c>
      <c r="I37" s="16"/>
    </row>
    <row r="38" spans="1:11" ht="12.95" customHeight="1" thickBot="1" x14ac:dyDescent="0.25">
      <c r="A38" s="5" t="s">
        <v>21</v>
      </c>
      <c r="B38" s="11">
        <f>SUM(B39:B40)</f>
        <v>90533.9</v>
      </c>
      <c r="F38" s="12"/>
      <c r="G38" s="38">
        <f>SUM(G34:G37)</f>
        <v>10978.24</v>
      </c>
      <c r="H38" s="12"/>
      <c r="I38" s="38"/>
    </row>
    <row r="39" spans="1:11" ht="12.95" customHeight="1" thickBot="1" x14ac:dyDescent="0.25">
      <c r="A39" s="8" t="s">
        <v>22</v>
      </c>
      <c r="B39" s="10">
        <v>90533.9</v>
      </c>
      <c r="C39" s="2">
        <v>25</v>
      </c>
      <c r="F39" s="12"/>
      <c r="G39" s="12"/>
      <c r="H39" s="12"/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61</v>
      </c>
      <c r="G40" s="24">
        <v>4559.04</v>
      </c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207794.22</v>
      </c>
      <c r="C41" s="2">
        <v>27</v>
      </c>
      <c r="F41" s="23" t="s">
        <v>62</v>
      </c>
      <c r="G41" s="24"/>
      <c r="H41" s="12">
        <v>17</v>
      </c>
      <c r="I41" s="12"/>
    </row>
    <row r="42" spans="1:11" ht="12.95" customHeight="1" thickBot="1" x14ac:dyDescent="0.25">
      <c r="A42" s="5" t="s">
        <v>25</v>
      </c>
      <c r="B42" s="11">
        <f>SUM(B43:B45)</f>
        <v>409727.94999999995</v>
      </c>
      <c r="F42" s="23" t="s">
        <v>63</v>
      </c>
      <c r="G42" s="24">
        <v>1783.51</v>
      </c>
      <c r="H42" s="12">
        <v>17</v>
      </c>
      <c r="I42" s="12"/>
      <c r="J42" s="17"/>
    </row>
    <row r="43" spans="1:11" ht="12.95" customHeight="1" thickBot="1" x14ac:dyDescent="0.25">
      <c r="A43" s="8" t="s">
        <v>26</v>
      </c>
      <c r="B43" s="10">
        <v>377885.97</v>
      </c>
      <c r="C43" s="2">
        <v>28</v>
      </c>
      <c r="F43" s="23" t="s">
        <v>64</v>
      </c>
      <c r="G43" s="24">
        <v>886.2</v>
      </c>
      <c r="H43" s="12">
        <v>17</v>
      </c>
      <c r="I43" s="12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65</v>
      </c>
      <c r="G44" s="24"/>
      <c r="H44" s="12">
        <v>17</v>
      </c>
      <c r="I44" s="12"/>
      <c r="K44" s="17"/>
    </row>
    <row r="45" spans="1:11" ht="12.95" customHeight="1" thickBot="1" x14ac:dyDescent="0.25">
      <c r="A45" s="8" t="s">
        <v>28</v>
      </c>
      <c r="B45" s="10">
        <v>31841.98</v>
      </c>
      <c r="C45" s="2">
        <v>30</v>
      </c>
      <c r="F45" s="23" t="s">
        <v>108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0</v>
      </c>
      <c r="F46" s="23" t="s">
        <v>109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/>
      <c r="C47" s="2">
        <v>31</v>
      </c>
      <c r="F47" s="23" t="s">
        <v>66</v>
      </c>
      <c r="G47" s="24"/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67</v>
      </c>
      <c r="G48" s="24">
        <v>18097.509999999998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68</v>
      </c>
      <c r="G49" s="24">
        <v>1558.12</v>
      </c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8075.46</v>
      </c>
      <c r="C50" s="2">
        <v>34</v>
      </c>
      <c r="F50" s="23" t="s">
        <v>69</v>
      </c>
      <c r="G50" s="24">
        <v>1381.43</v>
      </c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788.72</v>
      </c>
      <c r="C51" s="2">
        <v>35</v>
      </c>
      <c r="F51" s="23" t="s">
        <v>110</v>
      </c>
      <c r="G51" s="24"/>
      <c r="H51" s="12">
        <v>17</v>
      </c>
      <c r="I51" s="12"/>
    </row>
    <row r="52" spans="1:9" ht="12.95" customHeight="1" thickBot="1" x14ac:dyDescent="0.25">
      <c r="A52" s="9" t="s">
        <v>35</v>
      </c>
      <c r="B52" s="10">
        <v>10.3</v>
      </c>
      <c r="C52" s="2">
        <v>36</v>
      </c>
      <c r="F52" s="13"/>
      <c r="G52" s="37">
        <f>SUM(G40:G51)</f>
        <v>28265.809999999998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  <c r="F55" s="59" t="s">
        <v>224</v>
      </c>
      <c r="G55" s="59"/>
      <c r="H55" s="59"/>
    </row>
    <row r="56" spans="1:9" ht="12.95" customHeight="1" thickBot="1" x14ac:dyDescent="0.25">
      <c r="A56" s="9" t="s">
        <v>39</v>
      </c>
      <c r="B56" s="10">
        <f>1534209.99+1000</f>
        <v>1535209.99</v>
      </c>
      <c r="C56" s="2">
        <v>40</v>
      </c>
      <c r="F56" s="23" t="s">
        <v>111</v>
      </c>
      <c r="G56" s="24"/>
      <c r="H56" s="12">
        <v>23</v>
      </c>
    </row>
    <row r="57" spans="1:9" ht="12.95" customHeight="1" thickBot="1" x14ac:dyDescent="0.25">
      <c r="A57" s="5" t="s">
        <v>40</v>
      </c>
      <c r="B57" s="11">
        <f>B26+B37+B42+B46+B50+B51+B52+B53+B54+B55+B56</f>
        <v>3104972.63</v>
      </c>
      <c r="F57" s="23" t="s">
        <v>112</v>
      </c>
      <c r="G57" s="24"/>
      <c r="H57" s="12">
        <v>23</v>
      </c>
    </row>
    <row r="58" spans="1:9" ht="12.95" customHeight="1" thickBot="1" x14ac:dyDescent="0.25">
      <c r="A58" s="5" t="s">
        <v>41</v>
      </c>
      <c r="B58" s="11">
        <f>B24-B57</f>
        <v>333373.52</v>
      </c>
      <c r="F58" s="23" t="s">
        <v>115</v>
      </c>
      <c r="G58" s="24"/>
      <c r="H58" s="12">
        <v>23</v>
      </c>
      <c r="I58" s="12"/>
    </row>
    <row r="59" spans="1:9" ht="12.95" customHeight="1" thickBot="1" x14ac:dyDescent="0.25">
      <c r="A59" s="5" t="s">
        <v>42</v>
      </c>
      <c r="B59" s="11">
        <f>B8+B24-B57</f>
        <v>11252161.430000007</v>
      </c>
      <c r="G59" s="39">
        <f>SUM(G56:G58)</f>
        <v>0</v>
      </c>
    </row>
    <row r="60" spans="1:9" ht="12.95" customHeight="1" x14ac:dyDescent="0.2">
      <c r="A60" s="6"/>
      <c r="B60" s="17"/>
    </row>
    <row r="61" spans="1:9" ht="12.95" customHeight="1" thickBot="1" x14ac:dyDescent="0.25">
      <c r="A61" s="41" t="s">
        <v>43</v>
      </c>
      <c r="B61" s="41"/>
      <c r="C61" s="41"/>
      <c r="D61" s="41"/>
      <c r="E61" s="41"/>
    </row>
    <row r="62" spans="1:9" ht="12.95" customHeight="1" thickBot="1" x14ac:dyDescent="0.25">
      <c r="A62" s="62"/>
      <c r="B62" s="3" t="str">
        <f>B6</f>
        <v>Fevereiro</v>
      </c>
    </row>
    <row r="63" spans="1:9" ht="12.95" customHeight="1" thickBot="1" x14ac:dyDescent="0.25">
      <c r="A63" s="63"/>
      <c r="B63" s="3" t="s">
        <v>3</v>
      </c>
    </row>
    <row r="64" spans="1:9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6011094.45+5241066.98</f>
        <v>11252161.43</v>
      </c>
    </row>
    <row r="66" spans="1:7" ht="12.95" customHeight="1" thickBot="1" x14ac:dyDescent="0.25">
      <c r="A66" s="4" t="s">
        <v>46</v>
      </c>
      <c r="B66" s="10"/>
    </row>
    <row r="67" spans="1:7" ht="12.95" customHeight="1" thickBot="1" x14ac:dyDescent="0.25">
      <c r="A67" s="5" t="s">
        <v>47</v>
      </c>
      <c r="B67" s="11">
        <f>SUM(B64:B66)</f>
        <v>11252161.43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41" t="s">
        <v>48</v>
      </c>
      <c r="B69" s="41"/>
      <c r="C69" s="41"/>
      <c r="D69" s="41"/>
      <c r="E69" s="41"/>
    </row>
    <row r="70" spans="1:7" ht="12.95" customHeight="1" thickBot="1" x14ac:dyDescent="0.25">
      <c r="A70" s="62"/>
      <c r="B70" s="3" t="str">
        <f>B62</f>
        <v>Fevereiro</v>
      </c>
    </row>
    <row r="71" spans="1:7" ht="12.95" customHeight="1" thickBot="1" x14ac:dyDescent="0.25">
      <c r="A71" s="63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5"/>
    </row>
    <row r="73" spans="1:7" ht="12.95" customHeight="1" thickBot="1" x14ac:dyDescent="0.25">
      <c r="A73" s="4" t="s">
        <v>50</v>
      </c>
      <c r="B73" s="14">
        <f>+B65+B66</f>
        <v>11252161.43</v>
      </c>
      <c r="C73" s="25"/>
      <c r="G73" s="17"/>
    </row>
    <row r="74" spans="1:7" ht="12.95" customHeight="1" thickBot="1" x14ac:dyDescent="0.25">
      <c r="A74" s="5" t="s">
        <v>47</v>
      </c>
      <c r="B74" s="11">
        <f>SUM(B72:B73)</f>
        <v>11252161.43</v>
      </c>
      <c r="C74" s="17"/>
    </row>
    <row r="75" spans="1:7" ht="12.95" customHeight="1" x14ac:dyDescent="0.2">
      <c r="A75" s="6"/>
      <c r="B75" s="17"/>
    </row>
    <row r="76" spans="1:7" ht="12.95" customHeight="1" thickBot="1" x14ac:dyDescent="0.25">
      <c r="A76" s="41" t="s">
        <v>51</v>
      </c>
      <c r="B76" s="41"/>
      <c r="C76" s="41"/>
      <c r="D76" s="41"/>
      <c r="E76" s="41"/>
      <c r="F76" s="27"/>
      <c r="G76" s="22"/>
    </row>
    <row r="77" spans="1:7" ht="12.95" customHeight="1" thickBot="1" x14ac:dyDescent="0.25">
      <c r="A77" s="4"/>
      <c r="B77" s="3" t="s">
        <v>52</v>
      </c>
      <c r="C77" s="64" t="s">
        <v>226</v>
      </c>
      <c r="D77" s="64"/>
      <c r="E77" s="64"/>
      <c r="F77" s="64"/>
      <c r="G77" s="17"/>
    </row>
    <row r="78" spans="1:7" ht="12.95" customHeight="1" thickBot="1" x14ac:dyDescent="0.25">
      <c r="A78" s="4" t="s">
        <v>53</v>
      </c>
      <c r="B78" s="3" t="str">
        <f>B70</f>
        <v>Fevereiro</v>
      </c>
      <c r="C78" s="64"/>
      <c r="D78" s="64"/>
      <c r="E78" s="64"/>
      <c r="F78" s="64"/>
    </row>
    <row r="79" spans="1:7" ht="12.95" customHeight="1" x14ac:dyDescent="0.2">
      <c r="A79" s="6"/>
      <c r="C79" s="64"/>
      <c r="D79" s="64"/>
      <c r="E79" s="64"/>
      <c r="F79" s="64"/>
    </row>
    <row r="80" spans="1:7" ht="12.95" customHeight="1" x14ac:dyDescent="0.2">
      <c r="C80" s="35"/>
      <c r="D80" s="35"/>
      <c r="E80" s="35"/>
      <c r="F80" s="35"/>
    </row>
    <row r="81" spans="3:6" ht="12.95" customHeight="1" x14ac:dyDescent="0.2">
      <c r="C81" s="35"/>
      <c r="D81" s="35"/>
      <c r="E81" s="35"/>
      <c r="F81" s="35"/>
    </row>
    <row r="82" spans="3:6" ht="12.95" customHeight="1" x14ac:dyDescent="0.2">
      <c r="E82" s="22"/>
      <c r="F82" s="17"/>
    </row>
    <row r="83" spans="3:6" ht="12.95" customHeight="1" x14ac:dyDescent="0.2">
      <c r="E83" s="17"/>
      <c r="F83" s="17"/>
    </row>
    <row r="84" spans="3:6" ht="12.95" customHeight="1" x14ac:dyDescent="0.2">
      <c r="F84" s="17"/>
    </row>
    <row r="85" spans="3:6" ht="12.95" customHeight="1" x14ac:dyDescent="0.2">
      <c r="F85" s="17"/>
    </row>
  </sheetData>
  <sortState xmlns:xlrd2="http://schemas.microsoft.com/office/spreadsheetml/2017/richdata2" ref="F9:H24">
    <sortCondition ref="H9:H24"/>
  </sortState>
  <mergeCells count="12">
    <mergeCell ref="J13:K13"/>
    <mergeCell ref="J8:K8"/>
    <mergeCell ref="A1:E1"/>
    <mergeCell ref="A2:E2"/>
    <mergeCell ref="A3:E3"/>
    <mergeCell ref="A6:A7"/>
    <mergeCell ref="C6:C7"/>
    <mergeCell ref="A70:A71"/>
    <mergeCell ref="C77:F79"/>
    <mergeCell ref="F33:H33"/>
    <mergeCell ref="F55:H55"/>
    <mergeCell ref="A62:A63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2DF5C-8670-4E38-BEDA-423C4AD91599}">
  <sheetPr>
    <pageSetUpPr fitToPage="1"/>
  </sheetPr>
  <dimension ref="A1:K85"/>
  <sheetViews>
    <sheetView showGridLines="0" topLeftCell="A70" zoomScaleNormal="10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4" width="3.28515625" style="2" bestFit="1" customWidth="1"/>
    <col min="5" max="5" width="9.85546875" style="2" customWidth="1"/>
    <col min="6" max="6" width="27" style="2" bestFit="1" customWidth="1"/>
    <col min="7" max="7" width="15" style="2" customWidth="1"/>
    <col min="8" max="8" width="4.28515625" style="2" bestFit="1" customWidth="1"/>
    <col min="9" max="9" width="10.85546875" style="2" bestFit="1" customWidth="1"/>
    <col min="10" max="10" width="19.5703125" style="2" bestFit="1" customWidth="1"/>
    <col min="11" max="11" width="12.140625" style="2" bestFit="1" customWidth="1"/>
    <col min="12" max="12" width="10.85546875" style="2" bestFit="1" customWidth="1"/>
    <col min="13" max="16384" width="9.140625" style="2"/>
  </cols>
  <sheetData>
    <row r="1" spans="1:11" ht="12.95" customHeight="1" x14ac:dyDescent="0.2">
      <c r="A1" s="60" t="s">
        <v>149</v>
      </c>
      <c r="B1" s="60"/>
      <c r="C1" s="60"/>
      <c r="D1" s="60"/>
      <c r="E1" s="60"/>
    </row>
    <row r="2" spans="1:11" ht="12.95" customHeight="1" x14ac:dyDescent="0.2">
      <c r="A2" s="61" t="s">
        <v>0</v>
      </c>
      <c r="B2" s="61"/>
      <c r="C2" s="61"/>
      <c r="D2" s="61"/>
      <c r="E2" s="61"/>
    </row>
    <row r="3" spans="1:11" ht="12.95" customHeight="1" thickBot="1" x14ac:dyDescent="0.25">
      <c r="A3" s="61" t="s">
        <v>131</v>
      </c>
      <c r="B3" s="61"/>
      <c r="C3" s="61"/>
      <c r="D3" s="61"/>
      <c r="E3" s="61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2"/>
      <c r="B6" s="3" t="s">
        <v>118</v>
      </c>
      <c r="C6" s="66" t="s">
        <v>54</v>
      </c>
    </row>
    <row r="7" spans="1:11" ht="12.95" customHeight="1" thickBot="1" x14ac:dyDescent="0.25">
      <c r="A7" s="63"/>
      <c r="B7" s="3" t="s">
        <v>3</v>
      </c>
      <c r="C7" s="66"/>
    </row>
    <row r="8" spans="1:11" ht="12.95" customHeight="1" thickBot="1" x14ac:dyDescent="0.25">
      <c r="A8" s="4" t="s">
        <v>4</v>
      </c>
      <c r="B8" s="11">
        <f>Fev!B59</f>
        <v>11252161.430000007</v>
      </c>
      <c r="F8" s="18" t="s">
        <v>107</v>
      </c>
      <c r="G8" s="21" t="s">
        <v>137</v>
      </c>
      <c r="H8" s="21" t="s">
        <v>54</v>
      </c>
      <c r="I8" s="31"/>
      <c r="J8" s="58" t="s">
        <v>101</v>
      </c>
      <c r="K8" s="58"/>
    </row>
    <row r="9" spans="1:11" ht="12.95" customHeight="1" thickBot="1" x14ac:dyDescent="0.25">
      <c r="A9" s="7" t="s">
        <v>5</v>
      </c>
      <c r="B9" s="14"/>
      <c r="F9" s="23" t="s">
        <v>130</v>
      </c>
      <c r="G9" s="16">
        <v>2687856.15</v>
      </c>
      <c r="H9" s="36">
        <v>1</v>
      </c>
      <c r="I9" s="33"/>
      <c r="J9" s="18" t="s">
        <v>70</v>
      </c>
      <c r="K9" s="26" t="s">
        <v>134</v>
      </c>
    </row>
    <row r="10" spans="1:11" ht="12.95" customHeight="1" thickBot="1" x14ac:dyDescent="0.25">
      <c r="A10" s="4" t="s">
        <v>6</v>
      </c>
      <c r="B10" s="10">
        <v>2687856.15</v>
      </c>
      <c r="C10" s="2">
        <v>1</v>
      </c>
      <c r="F10" s="23" t="s">
        <v>72</v>
      </c>
      <c r="G10" s="16">
        <v>60921.649999999994</v>
      </c>
      <c r="H10" s="36">
        <v>7</v>
      </c>
      <c r="I10" s="33"/>
      <c r="J10" s="18" t="s">
        <v>116</v>
      </c>
      <c r="K10" s="26" t="s">
        <v>135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73</v>
      </c>
      <c r="G11" s="16">
        <v>-323526.18</v>
      </c>
      <c r="H11" s="36">
        <v>15</v>
      </c>
      <c r="I11" s="33"/>
      <c r="J11" s="18" t="s">
        <v>71</v>
      </c>
      <c r="K11" s="26" t="s">
        <v>136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74</v>
      </c>
      <c r="G12" s="16">
        <v>-145899.26</v>
      </c>
      <c r="H12" s="36">
        <v>16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75</v>
      </c>
      <c r="G13" s="16">
        <v>-117683.83</v>
      </c>
      <c r="H13" s="36">
        <v>18</v>
      </c>
      <c r="I13" s="33"/>
      <c r="J13" s="58" t="s">
        <v>102</v>
      </c>
      <c r="K13" s="58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86</v>
      </c>
      <c r="G14" s="16">
        <v>-11155.27</v>
      </c>
      <c r="H14" s="36">
        <v>19</v>
      </c>
      <c r="I14" s="33"/>
      <c r="J14" s="18" t="s">
        <v>103</v>
      </c>
      <c r="K14" s="26">
        <v>0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77</v>
      </c>
      <c r="G15" s="16">
        <v>-31255.109999999997</v>
      </c>
      <c r="H15" s="36">
        <v>21</v>
      </c>
      <c r="I15" s="33"/>
      <c r="J15" s="18" t="s">
        <v>104</v>
      </c>
      <c r="K15" s="26">
        <v>0</v>
      </c>
    </row>
    <row r="16" spans="1:11" ht="12.95" customHeight="1" thickBot="1" x14ac:dyDescent="0.25">
      <c r="A16" s="4" t="s">
        <v>7</v>
      </c>
      <c r="B16" s="10">
        <v>60921.65</v>
      </c>
      <c r="C16" s="2">
        <v>7</v>
      </c>
      <c r="F16" s="23" t="s">
        <v>78</v>
      </c>
      <c r="G16" s="16">
        <v>-33108.740000000005</v>
      </c>
      <c r="H16" s="36">
        <v>25</v>
      </c>
      <c r="I16" s="33"/>
      <c r="J16" s="18" t="s">
        <v>105</v>
      </c>
      <c r="K16" s="26">
        <v>0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79</v>
      </c>
      <c r="G17" s="16">
        <v>-199598.17</v>
      </c>
      <c r="H17" s="36">
        <v>27</v>
      </c>
      <c r="I17" s="33"/>
      <c r="J17" s="18" t="s">
        <v>113</v>
      </c>
      <c r="K17" s="26">
        <v>0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80</v>
      </c>
      <c r="G18" s="16">
        <v>-411227.31999999995</v>
      </c>
      <c r="H18" s="36">
        <v>28</v>
      </c>
      <c r="I18" s="33"/>
      <c r="J18" s="18" t="s">
        <v>114</v>
      </c>
      <c r="K18" s="26">
        <v>7485112.6699999999</v>
      </c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81</v>
      </c>
      <c r="G19" s="16">
        <v>-50048.579999999994</v>
      </c>
      <c r="H19" s="36">
        <v>30</v>
      </c>
      <c r="I19" s="33"/>
      <c r="J19" s="18" t="s">
        <v>106</v>
      </c>
      <c r="K19" s="26">
        <v>61.6</v>
      </c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87</v>
      </c>
      <c r="G20" s="16">
        <v>-1653.41</v>
      </c>
      <c r="H20" s="36">
        <v>31</v>
      </c>
      <c r="I20" s="33"/>
      <c r="J20" s="30"/>
      <c r="K20" s="26">
        <f>SUM(K14:K19)</f>
        <v>7485174.2699999996</v>
      </c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82</v>
      </c>
      <c r="G21" s="16">
        <v>-6171.0400000000009</v>
      </c>
      <c r="H21" s="36">
        <v>34</v>
      </c>
      <c r="I21" s="33"/>
    </row>
    <row r="22" spans="1:11" ht="12.95" customHeight="1" thickBot="1" x14ac:dyDescent="0.25">
      <c r="A22" s="4" t="s">
        <v>97</v>
      </c>
      <c r="B22" s="10"/>
      <c r="C22" s="2">
        <v>13</v>
      </c>
      <c r="F22" s="23" t="s">
        <v>83</v>
      </c>
      <c r="G22" s="16">
        <v>-3871.6600000000003</v>
      </c>
      <c r="H22" s="36">
        <v>35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84</v>
      </c>
      <c r="G23" s="16">
        <v>-89.299999999999912</v>
      </c>
      <c r="H23" s="36">
        <v>36</v>
      </c>
      <c r="I23" s="33"/>
    </row>
    <row r="24" spans="1:11" ht="12.95" customHeight="1" thickBot="1" x14ac:dyDescent="0.25">
      <c r="A24" s="5" t="s">
        <v>9</v>
      </c>
      <c r="B24" s="11">
        <f>SUM(B10:B23)</f>
        <v>2748777.8</v>
      </c>
      <c r="F24" s="23" t="s">
        <v>85</v>
      </c>
      <c r="G24" s="16">
        <v>-1054103.78</v>
      </c>
      <c r="H24" s="36">
        <v>40</v>
      </c>
      <c r="I24" s="34"/>
    </row>
    <row r="25" spans="1:11" ht="12.95" customHeight="1" thickBot="1" x14ac:dyDescent="0.25">
      <c r="A25" s="7" t="s">
        <v>10</v>
      </c>
      <c r="B25" s="14"/>
      <c r="F25" s="19" t="s">
        <v>56</v>
      </c>
      <c r="G25" s="20">
        <f>SUBTOTAL(9,G9:G24)</f>
        <v>359386.14999999944</v>
      </c>
      <c r="H25" s="20"/>
      <c r="I25" s="33"/>
    </row>
    <row r="26" spans="1:11" ht="12.95" customHeight="1" thickBot="1" x14ac:dyDescent="0.25">
      <c r="A26" s="5" t="s">
        <v>11</v>
      </c>
      <c r="B26" s="11">
        <f>SUM(B27:B36)</f>
        <v>629519.65</v>
      </c>
      <c r="F26" s="23"/>
      <c r="G26" s="16"/>
      <c r="H26" s="12"/>
      <c r="I26" s="33"/>
    </row>
    <row r="27" spans="1:11" ht="12.95" customHeight="1" thickBot="1" x14ac:dyDescent="0.25">
      <c r="A27" s="8" t="s">
        <v>12</v>
      </c>
      <c r="B27" s="10">
        <f>323526.18-B29-B35</f>
        <v>293461.70999999996</v>
      </c>
      <c r="C27" s="2">
        <v>15</v>
      </c>
      <c r="F27" s="23"/>
      <c r="G27" s="16"/>
      <c r="H27" s="12"/>
      <c r="I27" s="33"/>
    </row>
    <row r="28" spans="1:11" ht="12.95" customHeight="1" thickBot="1" x14ac:dyDescent="0.25">
      <c r="A28" s="8" t="s">
        <v>13</v>
      </c>
      <c r="B28" s="10">
        <v>145899.26</v>
      </c>
      <c r="C28" s="2">
        <v>16</v>
      </c>
      <c r="I28" s="32"/>
    </row>
    <row r="29" spans="1:11" ht="12.95" customHeight="1" thickBot="1" x14ac:dyDescent="0.25">
      <c r="A29" s="8" t="s">
        <v>14</v>
      </c>
      <c r="B29" s="10">
        <v>27743.190000000002</v>
      </c>
      <c r="C29" s="2">
        <v>17</v>
      </c>
      <c r="F29" s="13"/>
    </row>
    <row r="30" spans="1:11" ht="12.95" customHeight="1" thickBot="1" x14ac:dyDescent="0.25">
      <c r="A30" s="8" t="s">
        <v>15</v>
      </c>
      <c r="B30" s="10">
        <f>117683.83-9656.55</f>
        <v>108027.28</v>
      </c>
      <c r="C30" s="2">
        <v>18</v>
      </c>
    </row>
    <row r="31" spans="1:11" ht="12.95" customHeight="1" thickBot="1" x14ac:dyDescent="0.25">
      <c r="A31" s="8" t="s">
        <v>16</v>
      </c>
      <c r="B31" s="10">
        <v>11155.27</v>
      </c>
      <c r="C31" s="2">
        <v>19</v>
      </c>
    </row>
    <row r="32" spans="1:11" ht="12.95" customHeight="1" thickBot="1" x14ac:dyDescent="0.25">
      <c r="A32" s="8" t="s">
        <v>17</v>
      </c>
      <c r="B32" s="10"/>
      <c r="C32" s="2">
        <v>20</v>
      </c>
    </row>
    <row r="33" spans="1:11" ht="12.95" customHeight="1" thickBot="1" x14ac:dyDescent="0.25">
      <c r="A33" s="8" t="s">
        <v>18</v>
      </c>
      <c r="B33" s="10">
        <f>31255.11+9656.55</f>
        <v>40911.660000000003</v>
      </c>
      <c r="C33" s="2">
        <v>21</v>
      </c>
      <c r="F33" s="59" t="s">
        <v>133</v>
      </c>
      <c r="G33" s="59"/>
      <c r="H33" s="59"/>
      <c r="I33" s="28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57</v>
      </c>
      <c r="G34" s="40">
        <v>6160.8</v>
      </c>
      <c r="H34" s="12">
        <v>21</v>
      </c>
      <c r="I34" s="16"/>
    </row>
    <row r="35" spans="1:11" ht="12.95" customHeight="1" thickBot="1" x14ac:dyDescent="0.25">
      <c r="A35" s="8" t="s">
        <v>99</v>
      </c>
      <c r="B35" s="10">
        <v>2321.2800000000002</v>
      </c>
      <c r="C35" s="2">
        <v>23</v>
      </c>
      <c r="F35" s="12" t="s">
        <v>58</v>
      </c>
      <c r="G35" s="24">
        <v>3495.75</v>
      </c>
      <c r="H35" s="12">
        <v>21</v>
      </c>
      <c r="I35" s="12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59</v>
      </c>
      <c r="G36" s="24"/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232706.91</v>
      </c>
      <c r="F37" s="12" t="s">
        <v>60</v>
      </c>
      <c r="G37" s="24"/>
      <c r="H37" s="12">
        <v>20</v>
      </c>
      <c r="I37" s="16"/>
    </row>
    <row r="38" spans="1:11" ht="12.95" customHeight="1" thickBot="1" x14ac:dyDescent="0.25">
      <c r="A38" s="5" t="s">
        <v>21</v>
      </c>
      <c r="B38" s="11">
        <f>SUM(B39:B40)</f>
        <v>33108.74</v>
      </c>
      <c r="F38" s="12"/>
      <c r="G38" s="38">
        <f>SUM(G34:G37)</f>
        <v>9656.5499999999993</v>
      </c>
      <c r="H38" s="12"/>
      <c r="I38" s="38"/>
    </row>
    <row r="39" spans="1:11" ht="12.95" customHeight="1" thickBot="1" x14ac:dyDescent="0.25">
      <c r="A39" s="8" t="s">
        <v>22</v>
      </c>
      <c r="B39" s="10">
        <v>33108.74</v>
      </c>
      <c r="C39" s="2">
        <v>25</v>
      </c>
      <c r="F39" s="12"/>
      <c r="G39" s="12"/>
      <c r="H39" s="12"/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61</v>
      </c>
      <c r="G40" s="24">
        <v>3963.37</v>
      </c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199598.17</v>
      </c>
      <c r="C41" s="2">
        <v>27</v>
      </c>
      <c r="F41" s="23" t="s">
        <v>62</v>
      </c>
      <c r="G41" s="24"/>
      <c r="H41" s="12">
        <v>17</v>
      </c>
      <c r="I41" s="12"/>
    </row>
    <row r="42" spans="1:11" ht="12.95" customHeight="1" thickBot="1" x14ac:dyDescent="0.25">
      <c r="A42" s="5" t="s">
        <v>25</v>
      </c>
      <c r="B42" s="11">
        <f>SUM(B43:B45)</f>
        <v>461275.9</v>
      </c>
      <c r="F42" s="23" t="s">
        <v>63</v>
      </c>
      <c r="G42" s="24">
        <v>2485.17</v>
      </c>
      <c r="H42" s="12">
        <v>17</v>
      </c>
      <c r="I42" s="12"/>
      <c r="J42" s="17"/>
    </row>
    <row r="43" spans="1:11" ht="12.95" customHeight="1" thickBot="1" x14ac:dyDescent="0.25">
      <c r="A43" s="8" t="s">
        <v>26</v>
      </c>
      <c r="B43" s="10">
        <v>411227.32</v>
      </c>
      <c r="C43" s="2">
        <v>28</v>
      </c>
      <c r="F43" s="23" t="s">
        <v>64</v>
      </c>
      <c r="G43" s="24">
        <v>1671.23</v>
      </c>
      <c r="H43" s="12">
        <v>17</v>
      </c>
      <c r="I43" s="12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65</v>
      </c>
      <c r="G44" s="24"/>
      <c r="H44" s="12">
        <v>17</v>
      </c>
      <c r="I44" s="12"/>
      <c r="K44" s="17"/>
    </row>
    <row r="45" spans="1:11" ht="12.95" customHeight="1" thickBot="1" x14ac:dyDescent="0.25">
      <c r="A45" s="8" t="s">
        <v>28</v>
      </c>
      <c r="B45" s="10">
        <v>50048.58</v>
      </c>
      <c r="C45" s="2">
        <v>30</v>
      </c>
      <c r="F45" s="23" t="s">
        <v>108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1653.41</v>
      </c>
      <c r="F46" s="23" t="s">
        <v>109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>
        <v>1653.41</v>
      </c>
      <c r="C47" s="2">
        <v>31</v>
      </c>
      <c r="F47" s="23" t="s">
        <v>66</v>
      </c>
      <c r="G47" s="24"/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67</v>
      </c>
      <c r="G48" s="24">
        <v>7006.04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68</v>
      </c>
      <c r="G49" s="24">
        <v>11880.31</v>
      </c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6171.04</v>
      </c>
      <c r="C50" s="2">
        <v>34</v>
      </c>
      <c r="F50" s="23" t="s">
        <v>69</v>
      </c>
      <c r="G50" s="24">
        <v>737.07</v>
      </c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3871.66</v>
      </c>
      <c r="C51" s="2">
        <v>35</v>
      </c>
      <c r="F51" s="23" t="s">
        <v>110</v>
      </c>
      <c r="G51" s="24"/>
      <c r="H51" s="12">
        <v>17</v>
      </c>
      <c r="I51" s="12"/>
    </row>
    <row r="52" spans="1:9" ht="12.95" customHeight="1" thickBot="1" x14ac:dyDescent="0.25">
      <c r="A52" s="9" t="s">
        <v>35</v>
      </c>
      <c r="B52" s="10">
        <v>89.299999999999898</v>
      </c>
      <c r="C52" s="2">
        <v>36</v>
      </c>
      <c r="F52" s="13"/>
      <c r="G52" s="37">
        <f>SUM(G40:G51)</f>
        <v>27743.190000000002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  <c r="F55" s="59" t="s">
        <v>132</v>
      </c>
      <c r="G55" s="59"/>
      <c r="H55" s="59"/>
    </row>
    <row r="56" spans="1:9" ht="12.95" customHeight="1" thickBot="1" x14ac:dyDescent="0.25">
      <c r="A56" s="9" t="s">
        <v>39</v>
      </c>
      <c r="B56" s="10">
        <v>1054103.78</v>
      </c>
      <c r="C56" s="2">
        <v>40</v>
      </c>
      <c r="F56" s="23" t="s">
        <v>111</v>
      </c>
      <c r="G56" s="24"/>
      <c r="H56" s="12">
        <v>23</v>
      </c>
    </row>
    <row r="57" spans="1:9" ht="12.95" customHeight="1" thickBot="1" x14ac:dyDescent="0.25">
      <c r="A57" s="5" t="s">
        <v>40</v>
      </c>
      <c r="B57" s="11">
        <f>B26+B37+B42+B46+B50+B51+B52+B53+B54+B55+B56</f>
        <v>2389391.65</v>
      </c>
      <c r="F57" s="23" t="s">
        <v>112</v>
      </c>
      <c r="G57" s="24">
        <v>2321.2800000000002</v>
      </c>
      <c r="H57" s="12">
        <v>23</v>
      </c>
    </row>
    <row r="58" spans="1:9" ht="12.95" customHeight="1" thickBot="1" x14ac:dyDescent="0.25">
      <c r="A58" s="5" t="s">
        <v>41</v>
      </c>
      <c r="B58" s="11">
        <f>B24-B57</f>
        <v>359386.14999999991</v>
      </c>
      <c r="F58" s="23" t="s">
        <v>115</v>
      </c>
      <c r="G58" s="24"/>
      <c r="H58" s="12">
        <v>23</v>
      </c>
      <c r="I58" s="12"/>
    </row>
    <row r="59" spans="1:9" ht="12.95" customHeight="1" thickBot="1" x14ac:dyDescent="0.25">
      <c r="A59" s="5" t="s">
        <v>42</v>
      </c>
      <c r="B59" s="11">
        <f>B8+B24-B57</f>
        <v>11611547.580000008</v>
      </c>
      <c r="G59" s="39">
        <f>SUM(G56:G58)</f>
        <v>2321.2800000000002</v>
      </c>
    </row>
    <row r="60" spans="1:9" ht="12.95" customHeight="1" x14ac:dyDescent="0.2">
      <c r="A60" s="6"/>
    </row>
    <row r="61" spans="1:9" ht="12.95" customHeight="1" thickBot="1" x14ac:dyDescent="0.25">
      <c r="A61" s="65" t="s">
        <v>43</v>
      </c>
      <c r="B61" s="65"/>
      <c r="C61" s="65"/>
      <c r="D61" s="65"/>
      <c r="E61" s="65"/>
    </row>
    <row r="62" spans="1:9" ht="12.95" customHeight="1" thickBot="1" x14ac:dyDescent="0.25">
      <c r="A62" s="62"/>
      <c r="B62" s="3" t="str">
        <f>B6</f>
        <v>Março</v>
      </c>
    </row>
    <row r="63" spans="1:9" ht="12.95" customHeight="1" thickBot="1" x14ac:dyDescent="0.25">
      <c r="A63" s="63"/>
      <c r="B63" s="3" t="s">
        <v>3</v>
      </c>
    </row>
    <row r="64" spans="1:9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2207725.41+5277387.26</f>
        <v>7485112.6699999999</v>
      </c>
    </row>
    <row r="66" spans="1:7" ht="12.95" customHeight="1" thickBot="1" x14ac:dyDescent="0.25">
      <c r="A66" s="4" t="s">
        <v>46</v>
      </c>
      <c r="B66" s="10">
        <v>61.6</v>
      </c>
    </row>
    <row r="67" spans="1:7" ht="12.95" customHeight="1" thickBot="1" x14ac:dyDescent="0.25">
      <c r="A67" s="5" t="s">
        <v>47</v>
      </c>
      <c r="B67" s="11">
        <f>SUM(B64:B66)</f>
        <v>7485174.2699999996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5" t="s">
        <v>48</v>
      </c>
      <c r="B69" s="65"/>
      <c r="C69" s="65"/>
      <c r="D69" s="65"/>
      <c r="E69" s="65"/>
    </row>
    <row r="70" spans="1:7" ht="12.95" customHeight="1" thickBot="1" x14ac:dyDescent="0.25">
      <c r="A70" s="62"/>
      <c r="B70" s="3" t="str">
        <f>B62</f>
        <v>Março</v>
      </c>
    </row>
    <row r="71" spans="1:7" ht="12.95" customHeight="1" thickBot="1" x14ac:dyDescent="0.25">
      <c r="A71" s="63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5"/>
    </row>
    <row r="73" spans="1:7" ht="12.95" customHeight="1" thickBot="1" x14ac:dyDescent="0.25">
      <c r="A73" s="4" t="s">
        <v>50</v>
      </c>
      <c r="B73" s="14">
        <f>+B65+B66</f>
        <v>7485174.2699999996</v>
      </c>
      <c r="C73" s="25"/>
      <c r="G73" s="17"/>
    </row>
    <row r="74" spans="1:7" ht="12.95" customHeight="1" thickBot="1" x14ac:dyDescent="0.25">
      <c r="A74" s="5" t="s">
        <v>47</v>
      </c>
      <c r="B74" s="11">
        <f>SUM(B72:B73)</f>
        <v>7485174.2699999996</v>
      </c>
      <c r="C74" s="17"/>
    </row>
    <row r="75" spans="1:7" ht="12.95" customHeight="1" x14ac:dyDescent="0.2">
      <c r="A75" s="6"/>
    </row>
    <row r="76" spans="1:7" ht="12.95" customHeight="1" thickBot="1" x14ac:dyDescent="0.25">
      <c r="A76" s="65" t="s">
        <v>51</v>
      </c>
      <c r="B76" s="65"/>
      <c r="C76" s="65"/>
      <c r="D76" s="65"/>
      <c r="E76" s="65"/>
      <c r="F76" s="27"/>
      <c r="G76" s="22"/>
    </row>
    <row r="77" spans="1:7" ht="12.95" customHeight="1" thickBot="1" x14ac:dyDescent="0.25">
      <c r="A77" s="4"/>
      <c r="B77" s="3" t="s">
        <v>52</v>
      </c>
      <c r="C77" s="64" t="s">
        <v>146</v>
      </c>
      <c r="D77" s="64"/>
      <c r="E77" s="64"/>
      <c r="F77" s="64"/>
      <c r="G77" s="17"/>
    </row>
    <row r="78" spans="1:7" ht="12.95" customHeight="1" thickBot="1" x14ac:dyDescent="0.25">
      <c r="A78" s="4" t="s">
        <v>53</v>
      </c>
      <c r="B78" s="3" t="str">
        <f>B70</f>
        <v>Março</v>
      </c>
      <c r="C78" s="64"/>
      <c r="D78" s="64"/>
      <c r="E78" s="64"/>
      <c r="F78" s="64"/>
    </row>
    <row r="79" spans="1:7" ht="12.95" customHeight="1" x14ac:dyDescent="0.2">
      <c r="A79" s="6"/>
      <c r="C79" s="64"/>
      <c r="D79" s="64"/>
      <c r="E79" s="64"/>
      <c r="F79" s="64"/>
    </row>
    <row r="80" spans="1:7" ht="12.95" customHeight="1" x14ac:dyDescent="0.2">
      <c r="C80" s="35"/>
      <c r="D80" s="35"/>
      <c r="E80" s="35"/>
      <c r="F80" s="35"/>
    </row>
    <row r="81" spans="3:6" ht="12.95" customHeight="1" x14ac:dyDescent="0.2">
      <c r="C81" s="35"/>
      <c r="D81" s="35"/>
      <c r="E81" s="35"/>
      <c r="F81" s="35"/>
    </row>
    <row r="82" spans="3:6" ht="12.95" customHeight="1" x14ac:dyDescent="0.2">
      <c r="E82" s="22"/>
      <c r="F82" s="17"/>
    </row>
    <row r="83" spans="3:6" ht="12.95" customHeight="1" x14ac:dyDescent="0.2">
      <c r="E83" s="17"/>
      <c r="F83" s="17"/>
    </row>
    <row r="84" spans="3:6" ht="12.95" customHeight="1" x14ac:dyDescent="0.2">
      <c r="F84" s="17"/>
    </row>
    <row r="85" spans="3:6" ht="12.95" customHeight="1" x14ac:dyDescent="0.2">
      <c r="F85" s="17"/>
    </row>
  </sheetData>
  <sortState xmlns:xlrd2="http://schemas.microsoft.com/office/spreadsheetml/2017/richdata2" ref="F9:H24">
    <sortCondition ref="H9:H24"/>
  </sortState>
  <mergeCells count="15">
    <mergeCell ref="A70:A71"/>
    <mergeCell ref="A76:E76"/>
    <mergeCell ref="C77:F79"/>
    <mergeCell ref="J13:K13"/>
    <mergeCell ref="F33:H33"/>
    <mergeCell ref="F55:H55"/>
    <mergeCell ref="A61:E61"/>
    <mergeCell ref="A62:A63"/>
    <mergeCell ref="A69:E69"/>
    <mergeCell ref="J8:K8"/>
    <mergeCell ref="A1:E1"/>
    <mergeCell ref="A2:E2"/>
    <mergeCell ref="A3:E3"/>
    <mergeCell ref="A6:A7"/>
    <mergeCell ref="C6:C7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2F147-64E2-48C5-98BB-E64011FEA175}">
  <sheetPr>
    <pageSetUpPr fitToPage="1"/>
  </sheetPr>
  <dimension ref="A1:L85"/>
  <sheetViews>
    <sheetView showGridLines="0" topLeftCell="A67" zoomScaleNormal="10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4" width="3.28515625" style="2" bestFit="1" customWidth="1"/>
    <col min="5" max="5" width="9.85546875" style="2" customWidth="1"/>
    <col min="6" max="6" width="27" style="2" bestFit="1" customWidth="1"/>
    <col min="7" max="7" width="15" style="2" customWidth="1"/>
    <col min="8" max="8" width="5.7109375" style="2" bestFit="1" customWidth="1"/>
    <col min="9" max="9" width="9.5703125" style="45" bestFit="1" customWidth="1"/>
    <col min="10" max="10" width="10.85546875" style="2" bestFit="1" customWidth="1"/>
    <col min="11" max="11" width="23.28515625" style="2" bestFit="1" customWidth="1"/>
    <col min="12" max="12" width="12.140625" style="2" bestFit="1" customWidth="1"/>
    <col min="13" max="13" width="12.5703125" style="2" bestFit="1" customWidth="1"/>
    <col min="14" max="16384" width="9.140625" style="2"/>
  </cols>
  <sheetData>
    <row r="1" spans="1:12" ht="12.95" customHeight="1" x14ac:dyDescent="0.2">
      <c r="A1" s="60" t="s">
        <v>149</v>
      </c>
      <c r="B1" s="60"/>
      <c r="C1" s="60"/>
      <c r="D1" s="60"/>
      <c r="E1" s="60"/>
    </row>
    <row r="2" spans="1:12" ht="12.95" customHeight="1" x14ac:dyDescent="0.2">
      <c r="A2" s="61" t="s">
        <v>0</v>
      </c>
      <c r="B2" s="61"/>
      <c r="C2" s="61"/>
      <c r="D2" s="61"/>
      <c r="E2" s="61"/>
    </row>
    <row r="3" spans="1:12" ht="12.95" customHeight="1" thickBot="1" x14ac:dyDescent="0.25">
      <c r="A3" s="61" t="s">
        <v>138</v>
      </c>
      <c r="B3" s="61"/>
      <c r="C3" s="61"/>
      <c r="D3" s="61"/>
      <c r="E3" s="61"/>
    </row>
    <row r="4" spans="1:12" ht="12.95" customHeight="1" thickBot="1" x14ac:dyDescent="0.25">
      <c r="A4" s="1" t="s">
        <v>1</v>
      </c>
    </row>
    <row r="5" spans="1:12" ht="12.95" customHeight="1" thickBot="1" x14ac:dyDescent="0.25"/>
    <row r="6" spans="1:12" ht="12.95" customHeight="1" thickBot="1" x14ac:dyDescent="0.25">
      <c r="A6" s="62"/>
      <c r="B6" s="3" t="s">
        <v>119</v>
      </c>
      <c r="C6" s="66" t="s">
        <v>54</v>
      </c>
    </row>
    <row r="7" spans="1:12" ht="12.95" customHeight="1" thickBot="1" x14ac:dyDescent="0.25">
      <c r="A7" s="63"/>
      <c r="B7" s="3" t="s">
        <v>3</v>
      </c>
      <c r="C7" s="66"/>
    </row>
    <row r="8" spans="1:12" ht="12.95" customHeight="1" thickBot="1" x14ac:dyDescent="0.25">
      <c r="A8" s="4" t="s">
        <v>4</v>
      </c>
      <c r="B8" s="11">
        <f>Mar!B59</f>
        <v>11611547.580000008</v>
      </c>
      <c r="F8" s="18" t="s">
        <v>107</v>
      </c>
      <c r="G8" s="21" t="s">
        <v>139</v>
      </c>
      <c r="H8" s="21" t="s">
        <v>54</v>
      </c>
      <c r="I8" s="31"/>
      <c r="J8" s="31"/>
      <c r="K8" s="58" t="s">
        <v>101</v>
      </c>
      <c r="L8" s="58"/>
    </row>
    <row r="9" spans="1:12" ht="12.95" customHeight="1" thickBot="1" x14ac:dyDescent="0.25">
      <c r="A9" s="7" t="s">
        <v>5</v>
      </c>
      <c r="B9" s="14"/>
      <c r="F9" s="43" t="s">
        <v>130</v>
      </c>
      <c r="G9" s="13">
        <v>3230360.92</v>
      </c>
      <c r="H9" s="44">
        <v>1</v>
      </c>
      <c r="I9" s="46"/>
      <c r="J9" s="33"/>
      <c r="K9" s="18" t="s">
        <v>70</v>
      </c>
      <c r="L9" s="26" t="s">
        <v>142</v>
      </c>
    </row>
    <row r="10" spans="1:12" ht="12.95" customHeight="1" thickBot="1" x14ac:dyDescent="0.25">
      <c r="A10" s="4" t="s">
        <v>6</v>
      </c>
      <c r="B10" s="10">
        <v>3230360.92</v>
      </c>
      <c r="C10" s="2">
        <v>1</v>
      </c>
      <c r="F10" s="43" t="s">
        <v>72</v>
      </c>
      <c r="G10" s="13">
        <v>78750.760000000009</v>
      </c>
      <c r="H10" s="44">
        <v>7</v>
      </c>
      <c r="I10" s="46"/>
      <c r="J10" s="33"/>
      <c r="K10" s="18" t="s">
        <v>116</v>
      </c>
      <c r="L10" s="26" t="s">
        <v>144</v>
      </c>
    </row>
    <row r="11" spans="1:12" ht="12.95" customHeight="1" thickBot="1" x14ac:dyDescent="0.25">
      <c r="A11" s="4" t="s">
        <v>88</v>
      </c>
      <c r="B11" s="10"/>
      <c r="C11" s="2">
        <v>2</v>
      </c>
      <c r="F11" s="43" t="s">
        <v>147</v>
      </c>
      <c r="G11" s="13">
        <v>13.49</v>
      </c>
      <c r="H11" s="44">
        <v>13</v>
      </c>
      <c r="I11" s="46"/>
      <c r="J11" s="33"/>
      <c r="K11" s="18" t="s">
        <v>71</v>
      </c>
      <c r="L11" s="26" t="s">
        <v>143</v>
      </c>
    </row>
    <row r="12" spans="1:12" ht="12.95" customHeight="1" thickBot="1" x14ac:dyDescent="0.25">
      <c r="A12" s="4" t="s">
        <v>89</v>
      </c>
      <c r="B12" s="10"/>
      <c r="C12" s="2">
        <v>3</v>
      </c>
      <c r="F12" s="43" t="s">
        <v>73</v>
      </c>
      <c r="G12" s="13">
        <v>-318137.13</v>
      </c>
      <c r="H12" s="44">
        <v>15</v>
      </c>
      <c r="I12" s="46"/>
      <c r="J12" s="33"/>
      <c r="K12" s="29"/>
      <c r="L12" s="29"/>
    </row>
    <row r="13" spans="1:12" ht="12.95" customHeight="1" thickBot="1" x14ac:dyDescent="0.25">
      <c r="A13" s="4" t="s">
        <v>90</v>
      </c>
      <c r="B13" s="10"/>
      <c r="C13" s="2">
        <v>4</v>
      </c>
      <c r="F13" s="43" t="s">
        <v>74</v>
      </c>
      <c r="G13" s="13">
        <v>-162100.01000000004</v>
      </c>
      <c r="H13" s="44">
        <v>16</v>
      </c>
      <c r="I13" s="46"/>
      <c r="J13" s="33"/>
      <c r="K13" s="58" t="s">
        <v>102</v>
      </c>
      <c r="L13" s="58"/>
    </row>
    <row r="14" spans="1:12" ht="12.95" customHeight="1" thickBot="1" x14ac:dyDescent="0.25">
      <c r="A14" s="4" t="s">
        <v>91</v>
      </c>
      <c r="B14" s="10"/>
      <c r="C14" s="2">
        <v>5</v>
      </c>
      <c r="F14" s="43" t="s">
        <v>75</v>
      </c>
      <c r="G14" s="13">
        <v>-113691.39</v>
      </c>
      <c r="H14" s="44">
        <v>18</v>
      </c>
      <c r="I14" s="46"/>
      <c r="J14" s="33"/>
      <c r="K14" s="18" t="s">
        <v>114</v>
      </c>
      <c r="L14" s="26">
        <v>3123393.04</v>
      </c>
    </row>
    <row r="15" spans="1:12" ht="12.95" customHeight="1" thickBot="1" x14ac:dyDescent="0.25">
      <c r="A15" s="4" t="s">
        <v>92</v>
      </c>
      <c r="B15" s="10"/>
      <c r="C15" s="2">
        <v>6</v>
      </c>
      <c r="F15" s="43" t="s">
        <v>86</v>
      </c>
      <c r="G15" s="13">
        <v>-14740.28</v>
      </c>
      <c r="H15" s="44">
        <v>19</v>
      </c>
      <c r="I15" s="46"/>
      <c r="J15" s="33"/>
      <c r="K15" s="18" t="s">
        <v>145</v>
      </c>
      <c r="L15" s="26">
        <v>5481226.9500000002</v>
      </c>
    </row>
    <row r="16" spans="1:12" ht="12.95" customHeight="1" thickBot="1" x14ac:dyDescent="0.25">
      <c r="A16" s="4" t="s">
        <v>7</v>
      </c>
      <c r="B16" s="10">
        <v>78750.759999999995</v>
      </c>
      <c r="C16" s="2">
        <v>7</v>
      </c>
      <c r="F16" s="43" t="s">
        <v>77</v>
      </c>
      <c r="G16" s="13">
        <v>-33547.58</v>
      </c>
      <c r="H16" s="44">
        <v>21</v>
      </c>
      <c r="I16" s="46"/>
      <c r="J16" s="33"/>
      <c r="K16" s="18" t="s">
        <v>106</v>
      </c>
      <c r="L16" s="26">
        <v>206.95</v>
      </c>
    </row>
    <row r="17" spans="1:12" ht="12.95" customHeight="1" thickBot="1" x14ac:dyDescent="0.25">
      <c r="A17" s="4" t="s">
        <v>93</v>
      </c>
      <c r="B17" s="10"/>
      <c r="C17" s="2">
        <v>8</v>
      </c>
      <c r="F17" s="43" t="s">
        <v>78</v>
      </c>
      <c r="G17" s="13">
        <v>-50104.78</v>
      </c>
      <c r="H17" s="44">
        <v>25</v>
      </c>
      <c r="I17" s="46"/>
      <c r="J17" s="33"/>
      <c r="K17" s="30"/>
      <c r="L17" s="26">
        <f>SUM(L14:L16)</f>
        <v>8604826.9399999995</v>
      </c>
    </row>
    <row r="18" spans="1:12" ht="12.95" customHeight="1" thickBot="1" x14ac:dyDescent="0.25">
      <c r="A18" s="4" t="s">
        <v>94</v>
      </c>
      <c r="B18" s="10"/>
      <c r="C18" s="2">
        <v>9</v>
      </c>
      <c r="F18" s="43" t="s">
        <v>79</v>
      </c>
      <c r="G18" s="13">
        <v>-196349.97</v>
      </c>
      <c r="H18" s="44">
        <v>27</v>
      </c>
      <c r="I18" s="46"/>
      <c r="J18" s="33"/>
    </row>
    <row r="19" spans="1:12" ht="12.95" customHeight="1" thickBot="1" x14ac:dyDescent="0.25">
      <c r="A19" s="4" t="s">
        <v>95</v>
      </c>
      <c r="B19" s="10"/>
      <c r="C19" s="2">
        <v>10</v>
      </c>
      <c r="F19" s="43" t="s">
        <v>80</v>
      </c>
      <c r="G19" s="13">
        <v>-292565.48999999993</v>
      </c>
      <c r="H19" s="44">
        <v>28</v>
      </c>
      <c r="I19" s="46"/>
      <c r="J19" s="33"/>
    </row>
    <row r="20" spans="1:12" ht="12.95" customHeight="1" thickBot="1" x14ac:dyDescent="0.25">
      <c r="A20" s="4" t="s">
        <v>8</v>
      </c>
      <c r="B20" s="10"/>
      <c r="C20" s="2">
        <v>11</v>
      </c>
      <c r="F20" s="43" t="s">
        <v>81</v>
      </c>
      <c r="G20" s="13">
        <v>-38709.97</v>
      </c>
      <c r="H20" s="44">
        <v>30</v>
      </c>
      <c r="I20" s="46"/>
      <c r="J20" s="33"/>
    </row>
    <row r="21" spans="1:12" ht="12.95" customHeight="1" thickBot="1" x14ac:dyDescent="0.25">
      <c r="A21" s="4" t="s">
        <v>96</v>
      </c>
      <c r="B21" s="10"/>
      <c r="C21" s="2">
        <v>12</v>
      </c>
      <c r="F21" s="43" t="s">
        <v>87</v>
      </c>
      <c r="G21" s="13">
        <v>-1653.41</v>
      </c>
      <c r="H21" s="44">
        <v>31</v>
      </c>
      <c r="I21" s="46"/>
      <c r="J21" s="33"/>
    </row>
    <row r="22" spans="1:12" ht="12.95" customHeight="1" thickBot="1" x14ac:dyDescent="0.25">
      <c r="A22" s="4" t="s">
        <v>97</v>
      </c>
      <c r="B22" s="10">
        <v>13.49</v>
      </c>
      <c r="C22" s="2">
        <v>13</v>
      </c>
      <c r="F22" s="43" t="s">
        <v>82</v>
      </c>
      <c r="G22" s="13">
        <v>-14307.72</v>
      </c>
      <c r="H22" s="44">
        <v>34</v>
      </c>
      <c r="I22" s="46"/>
      <c r="J22" s="33"/>
    </row>
    <row r="23" spans="1:12" ht="12.95" customHeight="1" thickBot="1" x14ac:dyDescent="0.25">
      <c r="A23" s="4" t="s">
        <v>98</v>
      </c>
      <c r="B23" s="10"/>
      <c r="C23" s="2">
        <v>14</v>
      </c>
      <c r="F23" s="43" t="s">
        <v>83</v>
      </c>
      <c r="G23" s="13">
        <v>-788.72</v>
      </c>
      <c r="H23" s="44">
        <v>35</v>
      </c>
      <c r="I23" s="46"/>
      <c r="J23" s="33"/>
    </row>
    <row r="24" spans="1:12" ht="12.95" customHeight="1" thickBot="1" x14ac:dyDescent="0.25">
      <c r="A24" s="5" t="s">
        <v>9</v>
      </c>
      <c r="B24" s="11">
        <f>SUM(B10:B23)</f>
        <v>3309125.17</v>
      </c>
      <c r="F24" s="43" t="s">
        <v>84</v>
      </c>
      <c r="G24" s="13">
        <v>-66.2</v>
      </c>
      <c r="H24" s="44">
        <v>36</v>
      </c>
      <c r="I24" s="46"/>
      <c r="J24" s="34"/>
    </row>
    <row r="25" spans="1:12" ht="12.95" customHeight="1" thickBot="1" x14ac:dyDescent="0.25">
      <c r="A25" s="7" t="s">
        <v>10</v>
      </c>
      <c r="B25" s="14"/>
      <c r="F25" s="43" t="s">
        <v>85</v>
      </c>
      <c r="G25" s="13">
        <v>-952709.85</v>
      </c>
      <c r="H25" s="44">
        <v>40</v>
      </c>
      <c r="I25" s="46"/>
      <c r="J25" s="33"/>
    </row>
    <row r="26" spans="1:12" ht="12.95" customHeight="1" thickBot="1" x14ac:dyDescent="0.25">
      <c r="A26" s="5" t="s">
        <v>11</v>
      </c>
      <c r="B26" s="11">
        <f>SUM(B27:B36)</f>
        <v>642216.39</v>
      </c>
      <c r="F26" s="19" t="s">
        <v>56</v>
      </c>
      <c r="G26" s="20">
        <f>SUBTOTAL(9,G9:G25)</f>
        <v>1119652.6700000004</v>
      </c>
      <c r="H26" s="20"/>
      <c r="I26" s="32"/>
      <c r="J26" s="33"/>
    </row>
    <row r="27" spans="1:12" ht="12.95" customHeight="1" thickBot="1" x14ac:dyDescent="0.25">
      <c r="A27" s="8" t="s">
        <v>12</v>
      </c>
      <c r="B27" s="10">
        <f>318137.13-B29-B35</f>
        <v>295875.86</v>
      </c>
      <c r="C27" s="2">
        <v>15</v>
      </c>
      <c r="F27" s="23"/>
      <c r="G27" s="16"/>
      <c r="H27" s="12"/>
      <c r="I27" s="24"/>
      <c r="J27" s="33"/>
    </row>
    <row r="28" spans="1:12" ht="12.95" customHeight="1" thickBot="1" x14ac:dyDescent="0.25">
      <c r="A28" s="8" t="s">
        <v>13</v>
      </c>
      <c r="B28" s="10">
        <v>162100.01</v>
      </c>
      <c r="C28" s="2">
        <v>16</v>
      </c>
      <c r="J28" s="32"/>
    </row>
    <row r="29" spans="1:12" ht="12.95" customHeight="1" thickBot="1" x14ac:dyDescent="0.25">
      <c r="A29" s="8" t="s">
        <v>14</v>
      </c>
      <c r="B29" s="10">
        <v>19939.989999999998</v>
      </c>
      <c r="C29" s="2">
        <v>17</v>
      </c>
      <c r="F29" s="13"/>
    </row>
    <row r="30" spans="1:12" ht="12.95" customHeight="1" thickBot="1" x14ac:dyDescent="0.25">
      <c r="A30" s="8" t="s">
        <v>15</v>
      </c>
      <c r="B30" s="10">
        <f>113691.39-12104.5</f>
        <v>101586.89</v>
      </c>
      <c r="C30" s="2">
        <v>18</v>
      </c>
    </row>
    <row r="31" spans="1:12" ht="12.95" customHeight="1" thickBot="1" x14ac:dyDescent="0.25">
      <c r="A31" s="8" t="s">
        <v>16</v>
      </c>
      <c r="B31" s="10">
        <v>14740.28</v>
      </c>
      <c r="C31" s="2">
        <v>19</v>
      </c>
    </row>
    <row r="32" spans="1:12" ht="12.95" customHeight="1" thickBot="1" x14ac:dyDescent="0.25">
      <c r="A32" s="8" t="s">
        <v>17</v>
      </c>
      <c r="B32" s="10">
        <f>102.97</f>
        <v>102.97</v>
      </c>
      <c r="C32" s="2">
        <v>20</v>
      </c>
    </row>
    <row r="33" spans="1:12" ht="12.95" customHeight="1" thickBot="1" x14ac:dyDescent="0.25">
      <c r="A33" s="8" t="s">
        <v>18</v>
      </c>
      <c r="B33" s="10">
        <f>33547.58+12001.53</f>
        <v>45549.11</v>
      </c>
      <c r="C33" s="2">
        <v>21</v>
      </c>
      <c r="F33" s="59" t="s">
        <v>140</v>
      </c>
      <c r="G33" s="59"/>
      <c r="H33" s="59"/>
      <c r="I33" s="47"/>
      <c r="J33" s="28"/>
    </row>
    <row r="34" spans="1:12" ht="12.95" customHeight="1" thickBot="1" x14ac:dyDescent="0.25">
      <c r="A34" s="8" t="s">
        <v>19</v>
      </c>
      <c r="B34" s="10"/>
      <c r="C34" s="2">
        <v>22</v>
      </c>
      <c r="F34" s="12" t="s">
        <v>57</v>
      </c>
      <c r="G34" s="40">
        <v>7013.13</v>
      </c>
      <c r="H34" s="12">
        <v>21</v>
      </c>
      <c r="I34" s="24"/>
      <c r="J34" s="16"/>
    </row>
    <row r="35" spans="1:12" ht="12.95" customHeight="1" thickBot="1" x14ac:dyDescent="0.25">
      <c r="A35" s="8" t="s">
        <v>99</v>
      </c>
      <c r="B35" s="10">
        <v>2321.2800000000002</v>
      </c>
      <c r="C35" s="2">
        <v>23</v>
      </c>
      <c r="F35" s="12" t="s">
        <v>58</v>
      </c>
      <c r="G35" s="24">
        <v>4988.3999999999996</v>
      </c>
      <c r="H35" s="12">
        <v>21</v>
      </c>
      <c r="I35" s="24"/>
      <c r="J35" s="12"/>
    </row>
    <row r="36" spans="1:12" ht="12.95" customHeight="1" thickBot="1" x14ac:dyDescent="0.25">
      <c r="A36" s="8" t="s">
        <v>100</v>
      </c>
      <c r="B36" s="10"/>
      <c r="C36" s="2">
        <v>24</v>
      </c>
      <c r="F36" s="12" t="s">
        <v>59</v>
      </c>
      <c r="G36" s="24"/>
      <c r="H36" s="12">
        <v>20</v>
      </c>
      <c r="I36" s="24"/>
      <c r="J36" s="16"/>
    </row>
    <row r="37" spans="1:12" ht="12.95" customHeight="1" thickBot="1" x14ac:dyDescent="0.25">
      <c r="A37" s="5" t="s">
        <v>20</v>
      </c>
      <c r="B37" s="11">
        <f>B38+B41</f>
        <v>246454.75</v>
      </c>
      <c r="F37" s="12" t="s">
        <v>60</v>
      </c>
      <c r="G37" s="24">
        <v>102.97</v>
      </c>
      <c r="H37" s="12">
        <v>20</v>
      </c>
      <c r="I37" s="24"/>
      <c r="J37" s="16"/>
    </row>
    <row r="38" spans="1:12" ht="12.95" customHeight="1" thickBot="1" x14ac:dyDescent="0.25">
      <c r="A38" s="5" t="s">
        <v>21</v>
      </c>
      <c r="B38" s="11">
        <f>SUM(B39:B40)</f>
        <v>50104.78</v>
      </c>
      <c r="F38" s="12"/>
      <c r="G38" s="38">
        <f>SUM(G34:G37)</f>
        <v>12104.499999999998</v>
      </c>
      <c r="H38" s="12"/>
      <c r="I38" s="24"/>
      <c r="J38" s="38"/>
    </row>
    <row r="39" spans="1:12" ht="12.95" customHeight="1" thickBot="1" x14ac:dyDescent="0.25">
      <c r="A39" s="8" t="s">
        <v>22</v>
      </c>
      <c r="B39" s="10">
        <v>50104.78</v>
      </c>
      <c r="C39" s="2">
        <v>25</v>
      </c>
      <c r="F39" s="12"/>
      <c r="G39" s="12"/>
      <c r="H39" s="12"/>
      <c r="I39" s="24"/>
      <c r="J39" s="12"/>
    </row>
    <row r="40" spans="1:12" ht="12.95" customHeight="1" thickBot="1" x14ac:dyDescent="0.25">
      <c r="A40" s="8" t="s">
        <v>23</v>
      </c>
      <c r="B40" s="10"/>
      <c r="C40" s="2">
        <v>26</v>
      </c>
      <c r="F40" s="23" t="s">
        <v>61</v>
      </c>
      <c r="G40" s="24">
        <v>3313.91</v>
      </c>
      <c r="H40" s="12">
        <v>17</v>
      </c>
      <c r="I40" s="24"/>
      <c r="J40" s="12"/>
    </row>
    <row r="41" spans="1:12" ht="12.95" customHeight="1" thickBot="1" x14ac:dyDescent="0.25">
      <c r="A41" s="9" t="s">
        <v>24</v>
      </c>
      <c r="B41" s="10">
        <v>196349.97</v>
      </c>
      <c r="C41" s="2">
        <v>27</v>
      </c>
      <c r="F41" s="23" t="s">
        <v>62</v>
      </c>
      <c r="G41" s="24"/>
      <c r="H41" s="12">
        <v>17</v>
      </c>
      <c r="I41" s="24"/>
      <c r="J41" s="12"/>
    </row>
    <row r="42" spans="1:12" ht="12.95" customHeight="1" thickBot="1" x14ac:dyDescent="0.25">
      <c r="A42" s="5" t="s">
        <v>25</v>
      </c>
      <c r="B42" s="11">
        <f>SUM(B43:B45)</f>
        <v>331275.45999999996</v>
      </c>
      <c r="F42" s="23" t="s">
        <v>63</v>
      </c>
      <c r="G42" s="24">
        <v>2164.63</v>
      </c>
      <c r="H42" s="12">
        <v>17</v>
      </c>
      <c r="I42" s="24"/>
      <c r="J42" s="12"/>
      <c r="K42" s="17"/>
    </row>
    <row r="43" spans="1:12" ht="12.95" customHeight="1" thickBot="1" x14ac:dyDescent="0.25">
      <c r="A43" s="8" t="s">
        <v>26</v>
      </c>
      <c r="B43" s="10">
        <v>292565.49</v>
      </c>
      <c r="C43" s="2">
        <v>28</v>
      </c>
      <c r="F43" s="23" t="s">
        <v>64</v>
      </c>
      <c r="G43" s="24">
        <v>358.63</v>
      </c>
      <c r="H43" s="12">
        <v>17</v>
      </c>
      <c r="I43" s="24"/>
      <c r="J43" s="12"/>
    </row>
    <row r="44" spans="1:12" ht="12.95" customHeight="1" thickBot="1" x14ac:dyDescent="0.25">
      <c r="A44" s="8" t="s">
        <v>27</v>
      </c>
      <c r="B44" s="10"/>
      <c r="C44" s="2">
        <v>29</v>
      </c>
      <c r="F44" s="23" t="s">
        <v>65</v>
      </c>
      <c r="G44" s="24"/>
      <c r="H44" s="12">
        <v>17</v>
      </c>
      <c r="I44" s="24"/>
      <c r="J44" s="12"/>
      <c r="L44" s="17"/>
    </row>
    <row r="45" spans="1:12" ht="12.95" customHeight="1" thickBot="1" x14ac:dyDescent="0.25">
      <c r="A45" s="8" t="s">
        <v>28</v>
      </c>
      <c r="B45" s="10">
        <v>38709.97</v>
      </c>
      <c r="C45" s="2">
        <v>30</v>
      </c>
      <c r="F45" s="23" t="s">
        <v>108</v>
      </c>
      <c r="G45" s="24"/>
      <c r="H45" s="12">
        <v>17</v>
      </c>
      <c r="I45" s="24"/>
      <c r="J45" s="12"/>
    </row>
    <row r="46" spans="1:12" ht="12.95" customHeight="1" thickBot="1" x14ac:dyDescent="0.25">
      <c r="A46" s="5" t="s">
        <v>29</v>
      </c>
      <c r="B46" s="11">
        <f>SUM(B47:B49)</f>
        <v>1653.41</v>
      </c>
      <c r="F46" s="23" t="s">
        <v>109</v>
      </c>
      <c r="G46" s="24"/>
      <c r="H46" s="12">
        <v>17</v>
      </c>
      <c r="I46" s="24"/>
      <c r="J46" s="12"/>
    </row>
    <row r="47" spans="1:12" ht="12.95" customHeight="1" thickBot="1" x14ac:dyDescent="0.25">
      <c r="A47" s="8" t="s">
        <v>30</v>
      </c>
      <c r="B47" s="10">
        <v>1653.41</v>
      </c>
      <c r="C47" s="2">
        <v>31</v>
      </c>
      <c r="F47" s="23" t="s">
        <v>66</v>
      </c>
      <c r="G47" s="24"/>
      <c r="H47" s="12">
        <v>17</v>
      </c>
      <c r="I47" s="24"/>
      <c r="J47" s="12"/>
    </row>
    <row r="48" spans="1:12" ht="12.95" customHeight="1" thickBot="1" x14ac:dyDescent="0.25">
      <c r="A48" s="8" t="s">
        <v>31</v>
      </c>
      <c r="B48" s="10"/>
      <c r="C48" s="2">
        <v>32</v>
      </c>
      <c r="F48" s="23" t="s">
        <v>67</v>
      </c>
      <c r="G48" s="24"/>
      <c r="H48" s="12">
        <v>17</v>
      </c>
      <c r="I48" s="24"/>
      <c r="J48" s="12"/>
    </row>
    <row r="49" spans="1:10" ht="12.95" customHeight="1" thickBot="1" x14ac:dyDescent="0.25">
      <c r="A49" s="8" t="s">
        <v>32</v>
      </c>
      <c r="B49" s="10"/>
      <c r="C49" s="2">
        <v>33</v>
      </c>
      <c r="F49" s="23" t="s">
        <v>68</v>
      </c>
      <c r="G49" s="24">
        <v>14102.82</v>
      </c>
      <c r="H49" s="12">
        <v>17</v>
      </c>
      <c r="I49" s="24"/>
      <c r="J49" s="12"/>
    </row>
    <row r="50" spans="1:10" ht="12.95" customHeight="1" thickBot="1" x14ac:dyDescent="0.25">
      <c r="A50" s="9" t="s">
        <v>33</v>
      </c>
      <c r="B50" s="10">
        <v>14307.72</v>
      </c>
      <c r="C50" s="2">
        <v>34</v>
      </c>
      <c r="F50" s="23" t="s">
        <v>69</v>
      </c>
      <c r="G50" s="24"/>
      <c r="H50" s="12">
        <v>17</v>
      </c>
      <c r="I50" s="24"/>
      <c r="J50" s="12"/>
    </row>
    <row r="51" spans="1:10" ht="12.95" customHeight="1" thickBot="1" x14ac:dyDescent="0.25">
      <c r="A51" s="9" t="s">
        <v>34</v>
      </c>
      <c r="B51" s="10">
        <v>788.72</v>
      </c>
      <c r="C51" s="2">
        <v>35</v>
      </c>
      <c r="F51" s="23" t="s">
        <v>110</v>
      </c>
      <c r="G51" s="24"/>
      <c r="H51" s="12">
        <v>17</v>
      </c>
      <c r="I51" s="24"/>
      <c r="J51" s="12"/>
    </row>
    <row r="52" spans="1:10" ht="12.95" customHeight="1" thickBot="1" x14ac:dyDescent="0.25">
      <c r="A52" s="9" t="s">
        <v>35</v>
      </c>
      <c r="B52" s="10">
        <v>66.2</v>
      </c>
      <c r="C52" s="2">
        <v>36</v>
      </c>
      <c r="F52" s="13"/>
      <c r="G52" s="37">
        <f>SUM(G40:G51)</f>
        <v>19939.989999999998</v>
      </c>
    </row>
    <row r="53" spans="1:10" ht="12.95" customHeight="1" thickBot="1" x14ac:dyDescent="0.25">
      <c r="A53" s="9" t="s">
        <v>36</v>
      </c>
      <c r="B53" s="10"/>
      <c r="C53" s="2">
        <v>37</v>
      </c>
    </row>
    <row r="54" spans="1:10" ht="12.95" customHeight="1" thickBot="1" x14ac:dyDescent="0.25">
      <c r="A54" s="9" t="s">
        <v>37</v>
      </c>
      <c r="B54" s="10"/>
      <c r="C54" s="2">
        <v>38</v>
      </c>
    </row>
    <row r="55" spans="1:10" ht="12.95" customHeight="1" thickBot="1" x14ac:dyDescent="0.25">
      <c r="A55" s="9" t="s">
        <v>38</v>
      </c>
      <c r="B55" s="10"/>
      <c r="C55" s="2">
        <v>39</v>
      </c>
      <c r="F55" s="59" t="s">
        <v>141</v>
      </c>
      <c r="G55" s="59"/>
      <c r="H55" s="59"/>
      <c r="I55" s="47"/>
    </row>
    <row r="56" spans="1:10" ht="12.95" customHeight="1" thickBot="1" x14ac:dyDescent="0.25">
      <c r="A56" s="9" t="s">
        <v>39</v>
      </c>
      <c r="B56" s="10">
        <v>952709.85</v>
      </c>
      <c r="C56" s="2">
        <v>40</v>
      </c>
      <c r="F56" s="23" t="s">
        <v>111</v>
      </c>
      <c r="G56" s="24"/>
      <c r="H56" s="12">
        <v>23</v>
      </c>
      <c r="I56" s="24"/>
    </row>
    <row r="57" spans="1:10" ht="12.95" customHeight="1" thickBot="1" x14ac:dyDescent="0.25">
      <c r="A57" s="5" t="s">
        <v>40</v>
      </c>
      <c r="B57" s="11">
        <f>B26+B37+B42+B46+B50+B51+B52+B53+B54+B55+B56</f>
        <v>2189472.5</v>
      </c>
      <c r="F57" s="23" t="s">
        <v>112</v>
      </c>
      <c r="G57" s="24">
        <v>2321.2800000000002</v>
      </c>
      <c r="H57" s="12">
        <v>23</v>
      </c>
      <c r="I57" s="24"/>
    </row>
    <row r="58" spans="1:10" ht="12.95" customHeight="1" thickBot="1" x14ac:dyDescent="0.25">
      <c r="A58" s="5" t="s">
        <v>41</v>
      </c>
      <c r="B58" s="11">
        <f>B24-B57</f>
        <v>1119652.67</v>
      </c>
      <c r="F58" s="23" t="s">
        <v>115</v>
      </c>
      <c r="G58" s="24"/>
      <c r="H58" s="12">
        <v>23</v>
      </c>
      <c r="I58" s="24"/>
      <c r="J58" s="12"/>
    </row>
    <row r="59" spans="1:10" ht="12.95" customHeight="1" thickBot="1" x14ac:dyDescent="0.25">
      <c r="A59" s="5" t="s">
        <v>42</v>
      </c>
      <c r="B59" s="11">
        <f>B8+B24-B57</f>
        <v>12731200.250000007</v>
      </c>
      <c r="G59" s="48">
        <f>SUM(G56:G58)</f>
        <v>2321.2800000000002</v>
      </c>
    </row>
    <row r="60" spans="1:10" ht="12.95" customHeight="1" x14ac:dyDescent="0.2">
      <c r="A60" s="6"/>
    </row>
    <row r="61" spans="1:10" ht="12.95" customHeight="1" thickBot="1" x14ac:dyDescent="0.25">
      <c r="A61" s="65" t="s">
        <v>43</v>
      </c>
      <c r="B61" s="65"/>
      <c r="C61" s="65"/>
      <c r="D61" s="65"/>
      <c r="E61" s="65"/>
    </row>
    <row r="62" spans="1:10" ht="12.95" customHeight="1" thickBot="1" x14ac:dyDescent="0.25">
      <c r="A62" s="62"/>
      <c r="B62" s="3" t="str">
        <f>B6</f>
        <v>Abril</v>
      </c>
    </row>
    <row r="63" spans="1:10" ht="12.95" customHeight="1" thickBot="1" x14ac:dyDescent="0.25">
      <c r="A63" s="63"/>
      <c r="B63" s="3" t="s">
        <v>3</v>
      </c>
    </row>
    <row r="64" spans="1:10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5481226.95+3123393.04</f>
        <v>8604619.9900000002</v>
      </c>
    </row>
    <row r="66" spans="1:7" ht="12.95" customHeight="1" thickBot="1" x14ac:dyDescent="0.25">
      <c r="A66" s="4" t="s">
        <v>46</v>
      </c>
      <c r="B66" s="10">
        <v>206.95</v>
      </c>
    </row>
    <row r="67" spans="1:7" ht="12.95" customHeight="1" thickBot="1" x14ac:dyDescent="0.25">
      <c r="A67" s="5" t="s">
        <v>47</v>
      </c>
      <c r="B67" s="11">
        <f>SUM(B64:B66)</f>
        <v>8604826.9399999995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5" t="s">
        <v>48</v>
      </c>
      <c r="B69" s="65"/>
      <c r="C69" s="65"/>
      <c r="D69" s="65"/>
      <c r="E69" s="65"/>
    </row>
    <row r="70" spans="1:7" ht="12.95" customHeight="1" thickBot="1" x14ac:dyDescent="0.25">
      <c r="A70" s="62"/>
      <c r="B70" s="3" t="str">
        <f>B62</f>
        <v>Abril</v>
      </c>
    </row>
    <row r="71" spans="1:7" ht="12.95" customHeight="1" thickBot="1" x14ac:dyDescent="0.25">
      <c r="A71" s="63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5"/>
    </row>
    <row r="73" spans="1:7" ht="12.95" customHeight="1" thickBot="1" x14ac:dyDescent="0.25">
      <c r="A73" s="4" t="s">
        <v>50</v>
      </c>
      <c r="B73" s="14">
        <f>+B65+B66</f>
        <v>8604826.9399999995</v>
      </c>
      <c r="C73" s="25"/>
      <c r="G73" s="17"/>
    </row>
    <row r="74" spans="1:7" ht="12.95" customHeight="1" thickBot="1" x14ac:dyDescent="0.25">
      <c r="A74" s="5" t="s">
        <v>47</v>
      </c>
      <c r="B74" s="11">
        <f>SUM(B72:B73)</f>
        <v>8604826.9399999995</v>
      </c>
      <c r="C74" s="17"/>
    </row>
    <row r="75" spans="1:7" ht="12.95" customHeight="1" x14ac:dyDescent="0.2">
      <c r="A75" s="6"/>
    </row>
    <row r="76" spans="1:7" ht="12.95" customHeight="1" thickBot="1" x14ac:dyDescent="0.25">
      <c r="A76" s="65" t="s">
        <v>51</v>
      </c>
      <c r="B76" s="65"/>
      <c r="C76" s="65"/>
      <c r="D76" s="65"/>
      <c r="E76" s="65"/>
      <c r="F76" s="27"/>
      <c r="G76" s="22"/>
    </row>
    <row r="77" spans="1:7" ht="12.95" customHeight="1" thickBot="1" x14ac:dyDescent="0.25">
      <c r="A77" s="4"/>
      <c r="B77" s="3" t="s">
        <v>52</v>
      </c>
      <c r="C77" s="64" t="s">
        <v>148</v>
      </c>
      <c r="D77" s="64"/>
      <c r="E77" s="64"/>
      <c r="F77" s="64"/>
      <c r="G77" s="17"/>
    </row>
    <row r="78" spans="1:7" ht="12.95" customHeight="1" thickBot="1" x14ac:dyDescent="0.25">
      <c r="A78" s="4" t="s">
        <v>53</v>
      </c>
      <c r="B78" s="3" t="str">
        <f>B70</f>
        <v>Abril</v>
      </c>
      <c r="C78" s="64"/>
      <c r="D78" s="64"/>
      <c r="E78" s="64"/>
      <c r="F78" s="64"/>
    </row>
    <row r="79" spans="1:7" ht="12.95" customHeight="1" x14ac:dyDescent="0.2">
      <c r="A79" s="6"/>
      <c r="C79" s="64"/>
      <c r="D79" s="64"/>
      <c r="E79" s="64"/>
      <c r="F79" s="64"/>
    </row>
    <row r="80" spans="1:7" ht="12.95" customHeight="1" x14ac:dyDescent="0.2">
      <c r="C80" s="35"/>
      <c r="D80" s="35"/>
      <c r="E80" s="35"/>
      <c r="F80" s="35"/>
    </row>
    <row r="81" spans="3:6" ht="12.95" customHeight="1" x14ac:dyDescent="0.2">
      <c r="C81" s="35"/>
      <c r="D81" s="35"/>
      <c r="E81" s="35"/>
      <c r="F81" s="35"/>
    </row>
    <row r="82" spans="3:6" ht="12.95" customHeight="1" x14ac:dyDescent="0.2">
      <c r="E82" s="22"/>
      <c r="F82" s="17"/>
    </row>
    <row r="83" spans="3:6" ht="12.95" customHeight="1" x14ac:dyDescent="0.2">
      <c r="E83" s="17"/>
      <c r="F83" s="17"/>
    </row>
    <row r="84" spans="3:6" ht="12.95" customHeight="1" x14ac:dyDescent="0.2">
      <c r="F84" s="17"/>
    </row>
    <row r="85" spans="3:6" ht="12.95" customHeight="1" x14ac:dyDescent="0.2">
      <c r="F85" s="17"/>
    </row>
  </sheetData>
  <mergeCells count="15">
    <mergeCell ref="A1:E1"/>
    <mergeCell ref="A70:A71"/>
    <mergeCell ref="A76:E76"/>
    <mergeCell ref="C77:F79"/>
    <mergeCell ref="K13:L13"/>
    <mergeCell ref="F33:H33"/>
    <mergeCell ref="F55:H55"/>
    <mergeCell ref="A61:E61"/>
    <mergeCell ref="A62:A63"/>
    <mergeCell ref="A69:E69"/>
    <mergeCell ref="K8:L8"/>
    <mergeCell ref="A2:E2"/>
    <mergeCell ref="A3:E3"/>
    <mergeCell ref="A6:A7"/>
    <mergeCell ref="C6:C7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4226-B49E-4CEC-9214-46C8BE814B27}">
  <sheetPr>
    <pageSetUpPr fitToPage="1"/>
  </sheetPr>
  <dimension ref="A1:K85"/>
  <sheetViews>
    <sheetView showGridLines="0" topLeftCell="A67" zoomScaleNormal="10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4" width="3.28515625" style="2" bestFit="1" customWidth="1"/>
    <col min="5" max="5" width="9.8554687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10.85546875" style="2" bestFit="1" customWidth="1"/>
    <col min="10" max="10" width="23.28515625" style="2" bestFit="1" customWidth="1"/>
    <col min="11" max="11" width="12.140625" style="2" bestFit="1" customWidth="1"/>
    <col min="12" max="12" width="12.5703125" style="2" bestFit="1" customWidth="1"/>
    <col min="13" max="16384" width="9.140625" style="2"/>
  </cols>
  <sheetData>
    <row r="1" spans="1:11" ht="12.95" customHeight="1" x14ac:dyDescent="0.2">
      <c r="A1" s="60" t="s">
        <v>149</v>
      </c>
      <c r="B1" s="60"/>
      <c r="C1" s="60"/>
      <c r="D1" s="60"/>
      <c r="E1" s="60"/>
    </row>
    <row r="2" spans="1:11" ht="12.95" customHeight="1" x14ac:dyDescent="0.2">
      <c r="A2" s="61" t="s">
        <v>0</v>
      </c>
      <c r="B2" s="61"/>
      <c r="C2" s="61"/>
      <c r="D2" s="61"/>
      <c r="E2" s="61"/>
    </row>
    <row r="3" spans="1:11" ht="12.95" customHeight="1" thickBot="1" x14ac:dyDescent="0.25">
      <c r="A3" s="61" t="s">
        <v>150</v>
      </c>
      <c r="B3" s="61"/>
      <c r="C3" s="61"/>
      <c r="D3" s="61"/>
      <c r="E3" s="61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2"/>
      <c r="B6" s="3" t="s">
        <v>120</v>
      </c>
      <c r="C6" s="66" t="s">
        <v>54</v>
      </c>
    </row>
    <row r="7" spans="1:11" ht="12.95" customHeight="1" thickBot="1" x14ac:dyDescent="0.25">
      <c r="A7" s="63"/>
      <c r="B7" s="3" t="s">
        <v>3</v>
      </c>
      <c r="C7" s="66"/>
    </row>
    <row r="8" spans="1:11" ht="12.95" customHeight="1" thickBot="1" x14ac:dyDescent="0.25">
      <c r="A8" s="4" t="s">
        <v>4</v>
      </c>
      <c r="B8" s="11">
        <f>Abr!B59</f>
        <v>12731200.250000007</v>
      </c>
      <c r="F8" s="18" t="s">
        <v>107</v>
      </c>
      <c r="G8" s="21" t="s">
        <v>156</v>
      </c>
      <c r="H8" s="21" t="s">
        <v>54</v>
      </c>
      <c r="I8" s="31"/>
      <c r="J8" s="58" t="s">
        <v>101</v>
      </c>
      <c r="K8" s="58"/>
    </row>
    <row r="9" spans="1:11" ht="12.95" customHeight="1" thickBot="1" x14ac:dyDescent="0.25">
      <c r="A9" s="7" t="s">
        <v>5</v>
      </c>
      <c r="B9" s="14"/>
      <c r="F9" s="23" t="s">
        <v>130</v>
      </c>
      <c r="G9" s="16">
        <v>3260330.45</v>
      </c>
      <c r="H9" s="44">
        <v>1</v>
      </c>
      <c r="I9" s="33"/>
      <c r="J9" s="18" t="s">
        <v>70</v>
      </c>
      <c r="K9" s="26" t="s">
        <v>151</v>
      </c>
    </row>
    <row r="10" spans="1:11" ht="12.95" customHeight="1" thickBot="1" x14ac:dyDescent="0.25">
      <c r="A10" s="4" t="s">
        <v>6</v>
      </c>
      <c r="B10" s="10">
        <v>3260330.45</v>
      </c>
      <c r="C10" s="2">
        <v>1</v>
      </c>
      <c r="F10" s="23" t="s">
        <v>72</v>
      </c>
      <c r="G10" s="16">
        <v>94201.500000000015</v>
      </c>
      <c r="H10" s="44">
        <v>7</v>
      </c>
      <c r="I10" s="33"/>
      <c r="J10" s="18" t="s">
        <v>116</v>
      </c>
      <c r="K10" s="26" t="s">
        <v>152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147</v>
      </c>
      <c r="G11" s="16"/>
      <c r="H11" s="44">
        <v>13</v>
      </c>
      <c r="I11" s="33"/>
      <c r="J11" s="18" t="s">
        <v>71</v>
      </c>
      <c r="K11" s="26" t="s">
        <v>153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73</v>
      </c>
      <c r="G12" s="16">
        <v>-338742.68</v>
      </c>
      <c r="H12" s="44">
        <v>15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74</v>
      </c>
      <c r="G13" s="16">
        <v>-151439.08000000005</v>
      </c>
      <c r="H13" s="44">
        <v>16</v>
      </c>
      <c r="I13" s="33"/>
      <c r="J13" s="58" t="s">
        <v>102</v>
      </c>
      <c r="K13" s="58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75</v>
      </c>
      <c r="G14" s="16">
        <v>-114107.62</v>
      </c>
      <c r="H14" s="44">
        <v>18</v>
      </c>
      <c r="I14" s="33"/>
      <c r="J14" s="18" t="s">
        <v>114</v>
      </c>
      <c r="K14" s="26">
        <v>3217741.47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86</v>
      </c>
      <c r="G15" s="16"/>
      <c r="H15" s="44">
        <v>19</v>
      </c>
      <c r="I15" s="33"/>
      <c r="J15" s="18" t="s">
        <v>145</v>
      </c>
      <c r="K15" s="26">
        <v>5540763.46</v>
      </c>
    </row>
    <row r="16" spans="1:11" ht="12.95" customHeight="1" thickBot="1" x14ac:dyDescent="0.25">
      <c r="A16" s="4" t="s">
        <v>7</v>
      </c>
      <c r="B16" s="10">
        <v>94201.5</v>
      </c>
      <c r="C16" s="2">
        <v>7</v>
      </c>
      <c r="F16" s="23" t="s">
        <v>77</v>
      </c>
      <c r="G16" s="16">
        <v>-24888.660000000003</v>
      </c>
      <c r="H16" s="44">
        <v>21</v>
      </c>
      <c r="I16" s="33"/>
      <c r="J16" s="18" t="s">
        <v>106</v>
      </c>
      <c r="K16" s="26">
        <v>87.61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78</v>
      </c>
      <c r="G17" s="16">
        <v>-37095.130000000005</v>
      </c>
      <c r="H17" s="44">
        <v>25</v>
      </c>
      <c r="I17" s="33"/>
      <c r="J17" s="30"/>
      <c r="K17" s="26">
        <f>SUM(K14:K16)</f>
        <v>8758592.5399999991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79</v>
      </c>
      <c r="G18" s="16">
        <v>-265367.45999999996</v>
      </c>
      <c r="H18" s="44">
        <v>27</v>
      </c>
      <c r="I18" s="33"/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80</v>
      </c>
      <c r="G19" s="16">
        <v>-614328.46999999986</v>
      </c>
      <c r="H19" s="44">
        <v>28</v>
      </c>
      <c r="I19" s="33"/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81</v>
      </c>
      <c r="G20" s="16">
        <v>-38412.480000000003</v>
      </c>
      <c r="H20" s="44">
        <v>30</v>
      </c>
      <c r="I20" s="33"/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87</v>
      </c>
      <c r="G21" s="16">
        <v>-1680.91</v>
      </c>
      <c r="H21" s="44">
        <v>31</v>
      </c>
      <c r="I21" s="33"/>
    </row>
    <row r="22" spans="1:11" ht="12.95" customHeight="1" thickBot="1" x14ac:dyDescent="0.25">
      <c r="A22" s="4" t="s">
        <v>97</v>
      </c>
      <c r="B22" s="10"/>
      <c r="C22" s="2">
        <v>13</v>
      </c>
      <c r="F22" s="23" t="s">
        <v>82</v>
      </c>
      <c r="G22" s="16">
        <v>-8192.9600000000009</v>
      </c>
      <c r="H22" s="44">
        <v>34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83</v>
      </c>
      <c r="G23" s="16">
        <v>-2818.48</v>
      </c>
      <c r="H23" s="44">
        <v>35</v>
      </c>
      <c r="I23" s="33"/>
    </row>
    <row r="24" spans="1:11" ht="12.95" customHeight="1" thickBot="1" x14ac:dyDescent="0.25">
      <c r="A24" s="5" t="s">
        <v>9</v>
      </c>
      <c r="B24" s="11">
        <f>SUM(B10:B23)</f>
        <v>3354531.95</v>
      </c>
      <c r="F24" s="23" t="s">
        <v>84</v>
      </c>
      <c r="G24" s="16">
        <v>-69.19</v>
      </c>
      <c r="H24" s="44">
        <v>36</v>
      </c>
      <c r="I24" s="34"/>
    </row>
    <row r="25" spans="1:11" ht="12.95" customHeight="1" thickBot="1" x14ac:dyDescent="0.25">
      <c r="A25" s="7" t="s">
        <v>10</v>
      </c>
      <c r="B25" s="14"/>
      <c r="F25" s="23" t="s">
        <v>85</v>
      </c>
      <c r="G25" s="16">
        <v>-1603623.2300000002</v>
      </c>
      <c r="H25" s="44">
        <v>40</v>
      </c>
      <c r="I25" s="33"/>
    </row>
    <row r="26" spans="1:11" ht="12.95" customHeight="1" thickBot="1" x14ac:dyDescent="0.25">
      <c r="A26" s="5" t="s">
        <v>11</v>
      </c>
      <c r="B26" s="11">
        <f>SUM(B27:B36)</f>
        <v>629178.04000000015</v>
      </c>
      <c r="F26" s="19" t="s">
        <v>56</v>
      </c>
      <c r="G26" s="20">
        <f>SUBTOTAL(9,G9:G25)</f>
        <v>153765.60000000009</v>
      </c>
      <c r="H26" s="20"/>
      <c r="I26" s="33"/>
    </row>
    <row r="27" spans="1:11" ht="12.95" customHeight="1" thickBot="1" x14ac:dyDescent="0.25">
      <c r="A27" s="8" t="s">
        <v>12</v>
      </c>
      <c r="B27" s="10">
        <f>338742.68-B29-B35</f>
        <v>318663.12999999995</v>
      </c>
      <c r="C27" s="2">
        <v>15</v>
      </c>
      <c r="F27" s="23"/>
      <c r="G27" s="16"/>
      <c r="H27" s="12"/>
      <c r="I27" s="33"/>
    </row>
    <row r="28" spans="1:11" ht="12.95" customHeight="1" thickBot="1" x14ac:dyDescent="0.25">
      <c r="A28" s="8" t="s">
        <v>13</v>
      </c>
      <c r="B28" s="10">
        <v>151439.07999999999</v>
      </c>
      <c r="C28" s="2">
        <v>16</v>
      </c>
      <c r="I28" s="32"/>
    </row>
    <row r="29" spans="1:11" ht="12.95" customHeight="1" thickBot="1" x14ac:dyDescent="0.25">
      <c r="A29" s="8" t="s">
        <v>14</v>
      </c>
      <c r="B29" s="10">
        <v>17758.27</v>
      </c>
      <c r="C29" s="2">
        <v>17</v>
      </c>
      <c r="F29" s="13"/>
    </row>
    <row r="30" spans="1:11" ht="12.95" customHeight="1" thickBot="1" x14ac:dyDescent="0.25">
      <c r="A30" s="8" t="s">
        <v>15</v>
      </c>
      <c r="B30" s="10">
        <f>114107.62-1230.46</f>
        <v>112877.15999999999</v>
      </c>
      <c r="C30" s="2">
        <v>18</v>
      </c>
    </row>
    <row r="31" spans="1:11" ht="12.95" customHeight="1" thickBot="1" x14ac:dyDescent="0.25">
      <c r="A31" s="8" t="s">
        <v>16</v>
      </c>
      <c r="B31" s="10"/>
      <c r="C31" s="2">
        <v>19</v>
      </c>
    </row>
    <row r="32" spans="1:11" ht="12.95" customHeight="1" thickBot="1" x14ac:dyDescent="0.25">
      <c r="A32" s="8" t="s">
        <v>17</v>
      </c>
      <c r="B32" s="10">
        <f>86.81</f>
        <v>86.81</v>
      </c>
      <c r="C32" s="2">
        <v>20</v>
      </c>
    </row>
    <row r="33" spans="1:11" ht="12.95" customHeight="1" thickBot="1" x14ac:dyDescent="0.25">
      <c r="A33" s="8" t="s">
        <v>18</v>
      </c>
      <c r="B33" s="10">
        <f>24888.66+1143.65</f>
        <v>26032.31</v>
      </c>
      <c r="C33" s="2">
        <v>21</v>
      </c>
      <c r="F33" s="59" t="s">
        <v>154</v>
      </c>
      <c r="G33" s="59"/>
      <c r="H33" s="59"/>
      <c r="I33" s="28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57</v>
      </c>
      <c r="G34" s="40">
        <v>1124.3900000000001</v>
      </c>
      <c r="H34" s="12">
        <v>21</v>
      </c>
      <c r="I34" s="16"/>
    </row>
    <row r="35" spans="1:11" ht="12.95" customHeight="1" thickBot="1" x14ac:dyDescent="0.25">
      <c r="A35" s="8" t="s">
        <v>99</v>
      </c>
      <c r="B35" s="10">
        <v>2321.2800000000002</v>
      </c>
      <c r="C35" s="2">
        <v>23</v>
      </c>
      <c r="F35" s="12" t="s">
        <v>58</v>
      </c>
      <c r="G35" s="24">
        <v>19.260000000000002</v>
      </c>
      <c r="H35" s="12">
        <v>21</v>
      </c>
      <c r="I35" s="12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59</v>
      </c>
      <c r="G36" s="24"/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302462.59000000003</v>
      </c>
      <c r="F37" s="12" t="s">
        <v>60</v>
      </c>
      <c r="G37" s="24">
        <v>86.81</v>
      </c>
      <c r="H37" s="12">
        <v>20</v>
      </c>
      <c r="I37" s="16"/>
    </row>
    <row r="38" spans="1:11" ht="12.95" customHeight="1" thickBot="1" x14ac:dyDescent="0.25">
      <c r="A38" s="5" t="s">
        <v>21</v>
      </c>
      <c r="B38" s="11">
        <f>SUM(B39:B40)</f>
        <v>37095.129999999997</v>
      </c>
      <c r="F38" s="12"/>
      <c r="G38" s="38">
        <f>SUM(G34:G37)</f>
        <v>1230.46</v>
      </c>
      <c r="H38" s="12"/>
      <c r="I38" s="38"/>
    </row>
    <row r="39" spans="1:11" ht="12.95" customHeight="1" thickBot="1" x14ac:dyDescent="0.25">
      <c r="A39" s="8" t="s">
        <v>22</v>
      </c>
      <c r="B39" s="10">
        <v>37095.129999999997</v>
      </c>
      <c r="C39" s="2">
        <v>25</v>
      </c>
      <c r="F39" s="12"/>
      <c r="G39" s="12"/>
      <c r="H39" s="12"/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61</v>
      </c>
      <c r="G40" s="24">
        <v>2509.4299999999998</v>
      </c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265367.46000000002</v>
      </c>
      <c r="C41" s="2">
        <v>27</v>
      </c>
      <c r="F41" s="23" t="s">
        <v>62</v>
      </c>
      <c r="G41" s="24"/>
      <c r="H41" s="12">
        <v>17</v>
      </c>
      <c r="I41" s="12"/>
    </row>
    <row r="42" spans="1:11" ht="12.95" customHeight="1" thickBot="1" x14ac:dyDescent="0.25">
      <c r="A42" s="5" t="s">
        <v>25</v>
      </c>
      <c r="B42" s="11">
        <f>SUM(B43:B45)</f>
        <v>652740.94999999995</v>
      </c>
      <c r="F42" s="23" t="s">
        <v>63</v>
      </c>
      <c r="G42" s="24">
        <v>3285.08</v>
      </c>
      <c r="H42" s="12">
        <v>17</v>
      </c>
      <c r="I42" s="12"/>
      <c r="J42" s="17"/>
    </row>
    <row r="43" spans="1:11" ht="12.95" customHeight="1" thickBot="1" x14ac:dyDescent="0.25">
      <c r="A43" s="8" t="s">
        <v>26</v>
      </c>
      <c r="B43" s="10">
        <v>614328.47</v>
      </c>
      <c r="C43" s="2">
        <v>28</v>
      </c>
      <c r="F43" s="23" t="s">
        <v>64</v>
      </c>
      <c r="G43" s="24">
        <v>893.94</v>
      </c>
      <c r="H43" s="12">
        <v>17</v>
      </c>
      <c r="I43" s="12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65</v>
      </c>
      <c r="G44" s="24"/>
      <c r="H44" s="12">
        <v>17</v>
      </c>
      <c r="I44" s="12"/>
      <c r="K44" s="17"/>
    </row>
    <row r="45" spans="1:11" ht="12.95" customHeight="1" thickBot="1" x14ac:dyDescent="0.25">
      <c r="A45" s="8" t="s">
        <v>28</v>
      </c>
      <c r="B45" s="10">
        <v>38412.480000000003</v>
      </c>
      <c r="C45" s="2">
        <v>30</v>
      </c>
      <c r="F45" s="23" t="s">
        <v>108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1680.91</v>
      </c>
      <c r="F46" s="23" t="s">
        <v>109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>
        <v>1680.91</v>
      </c>
      <c r="C47" s="2">
        <v>31</v>
      </c>
      <c r="F47" s="23" t="s">
        <v>66</v>
      </c>
      <c r="G47" s="24">
        <v>171.14</v>
      </c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67</v>
      </c>
      <c r="G48" s="24"/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68</v>
      </c>
      <c r="G49" s="24">
        <v>10273.4</v>
      </c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8192.9599999999991</v>
      </c>
      <c r="C50" s="2">
        <v>34</v>
      </c>
      <c r="F50" s="23" t="s">
        <v>69</v>
      </c>
      <c r="G50" s="24">
        <v>625.28</v>
      </c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2818.48</v>
      </c>
      <c r="C51" s="2">
        <v>35</v>
      </c>
      <c r="F51" s="23" t="s">
        <v>110</v>
      </c>
      <c r="G51" s="24"/>
      <c r="H51" s="12">
        <v>17</v>
      </c>
      <c r="I51" s="12"/>
    </row>
    <row r="52" spans="1:9" ht="12.95" customHeight="1" thickBot="1" x14ac:dyDescent="0.25">
      <c r="A52" s="9" t="s">
        <v>35</v>
      </c>
      <c r="B52" s="10">
        <v>69.19</v>
      </c>
      <c r="C52" s="2">
        <v>36</v>
      </c>
      <c r="F52" s="13"/>
      <c r="G52" s="37">
        <f>SUM(G40:G51)</f>
        <v>17758.27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  <c r="F55" s="59" t="s">
        <v>155</v>
      </c>
      <c r="G55" s="59"/>
      <c r="H55" s="59"/>
    </row>
    <row r="56" spans="1:9" ht="12.95" customHeight="1" thickBot="1" x14ac:dyDescent="0.25">
      <c r="A56" s="9" t="s">
        <v>39</v>
      </c>
      <c r="B56" s="10">
        <v>1603623.23</v>
      </c>
      <c r="C56" s="2">
        <v>40</v>
      </c>
      <c r="F56" s="23" t="s">
        <v>111</v>
      </c>
      <c r="G56" s="24"/>
      <c r="H56" s="12">
        <v>23</v>
      </c>
    </row>
    <row r="57" spans="1:9" ht="12.95" customHeight="1" thickBot="1" x14ac:dyDescent="0.25">
      <c r="A57" s="5" t="s">
        <v>40</v>
      </c>
      <c r="B57" s="11">
        <f>B26+B37+B42+B46+B50+B51+B52+B53+B54+B55+B56</f>
        <v>3200766.3499999996</v>
      </c>
      <c r="F57" s="23" t="s">
        <v>112</v>
      </c>
      <c r="G57" s="24">
        <v>2321.2800000000002</v>
      </c>
      <c r="H57" s="12">
        <v>23</v>
      </c>
    </row>
    <row r="58" spans="1:9" ht="12.95" customHeight="1" thickBot="1" x14ac:dyDescent="0.25">
      <c r="A58" s="5" t="s">
        <v>41</v>
      </c>
      <c r="B58" s="11">
        <f>B24-B57</f>
        <v>153765.60000000056</v>
      </c>
      <c r="F58" s="23" t="s">
        <v>115</v>
      </c>
      <c r="G58" s="24"/>
      <c r="H58" s="12">
        <v>23</v>
      </c>
      <c r="I58" s="12"/>
    </row>
    <row r="59" spans="1:9" ht="12.95" customHeight="1" thickBot="1" x14ac:dyDescent="0.25">
      <c r="A59" s="5" t="s">
        <v>42</v>
      </c>
      <c r="B59" s="11">
        <f>B8+B24-B57</f>
        <v>12884965.850000007</v>
      </c>
      <c r="F59" s="13"/>
      <c r="G59" s="37">
        <f>SUM(G56:G58)</f>
        <v>2321.2800000000002</v>
      </c>
    </row>
    <row r="60" spans="1:9" ht="12.95" customHeight="1" x14ac:dyDescent="0.2">
      <c r="A60" s="6"/>
      <c r="B60" s="17"/>
    </row>
    <row r="61" spans="1:9" ht="12.95" customHeight="1" thickBot="1" x14ac:dyDescent="0.25">
      <c r="A61" s="65" t="s">
        <v>43</v>
      </c>
      <c r="B61" s="65"/>
      <c r="C61" s="65"/>
      <c r="D61" s="65"/>
      <c r="E61" s="65"/>
    </row>
    <row r="62" spans="1:9" ht="12.95" customHeight="1" thickBot="1" x14ac:dyDescent="0.25">
      <c r="A62" s="62"/>
      <c r="B62" s="3" t="str">
        <f>B6</f>
        <v>Maio</v>
      </c>
    </row>
    <row r="63" spans="1:9" ht="12.95" customHeight="1" thickBot="1" x14ac:dyDescent="0.25">
      <c r="A63" s="63"/>
      <c r="B63" s="3" t="s">
        <v>3</v>
      </c>
    </row>
    <row r="64" spans="1:9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5540763.46+3217741.47</f>
        <v>8758504.9299999997</v>
      </c>
    </row>
    <row r="66" spans="1:7" ht="12.95" customHeight="1" thickBot="1" x14ac:dyDescent="0.25">
      <c r="A66" s="4" t="s">
        <v>46</v>
      </c>
      <c r="B66" s="10">
        <v>87.61</v>
      </c>
    </row>
    <row r="67" spans="1:7" ht="12.95" customHeight="1" thickBot="1" x14ac:dyDescent="0.25">
      <c r="A67" s="5" t="s">
        <v>47</v>
      </c>
      <c r="B67" s="11">
        <f>SUM(B64:B66)</f>
        <v>8758592.5399999991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5" t="s">
        <v>48</v>
      </c>
      <c r="B69" s="65"/>
      <c r="C69" s="65"/>
      <c r="D69" s="65"/>
      <c r="E69" s="65"/>
    </row>
    <row r="70" spans="1:7" ht="12.95" customHeight="1" thickBot="1" x14ac:dyDescent="0.25">
      <c r="A70" s="62"/>
      <c r="B70" s="3" t="str">
        <f>B62</f>
        <v>Maio</v>
      </c>
    </row>
    <row r="71" spans="1:7" ht="12.95" customHeight="1" thickBot="1" x14ac:dyDescent="0.25">
      <c r="A71" s="63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5"/>
    </row>
    <row r="73" spans="1:7" ht="12.95" customHeight="1" thickBot="1" x14ac:dyDescent="0.25">
      <c r="A73" s="4" t="s">
        <v>50</v>
      </c>
      <c r="B73" s="14">
        <f>+B65+B66</f>
        <v>8758592.5399999991</v>
      </c>
      <c r="C73" s="25"/>
      <c r="G73" s="17"/>
    </row>
    <row r="74" spans="1:7" ht="12.95" customHeight="1" thickBot="1" x14ac:dyDescent="0.25">
      <c r="A74" s="5" t="s">
        <v>47</v>
      </c>
      <c r="B74" s="11">
        <f>SUM(B72:B73)</f>
        <v>8758592.5399999991</v>
      </c>
      <c r="C74" s="17"/>
    </row>
    <row r="75" spans="1:7" ht="12.95" customHeight="1" x14ac:dyDescent="0.2">
      <c r="A75" s="6"/>
    </row>
    <row r="76" spans="1:7" ht="12.95" customHeight="1" thickBot="1" x14ac:dyDescent="0.25">
      <c r="A76" s="65" t="s">
        <v>51</v>
      </c>
      <c r="B76" s="65"/>
      <c r="C76" s="65"/>
      <c r="D76" s="65"/>
      <c r="E76" s="65"/>
      <c r="F76" s="27"/>
      <c r="G76" s="22"/>
    </row>
    <row r="77" spans="1:7" ht="12.95" customHeight="1" thickBot="1" x14ac:dyDescent="0.25">
      <c r="A77" s="4"/>
      <c r="B77" s="3" t="s">
        <v>52</v>
      </c>
      <c r="C77" s="64" t="s">
        <v>157</v>
      </c>
      <c r="D77" s="64"/>
      <c r="E77" s="64"/>
      <c r="F77" s="64"/>
      <c r="G77" s="17"/>
    </row>
    <row r="78" spans="1:7" ht="12.95" customHeight="1" thickBot="1" x14ac:dyDescent="0.25">
      <c r="A78" s="4" t="s">
        <v>53</v>
      </c>
      <c r="B78" s="3" t="str">
        <f>B70</f>
        <v>Maio</v>
      </c>
      <c r="C78" s="64"/>
      <c r="D78" s="64"/>
      <c r="E78" s="64"/>
      <c r="F78" s="64"/>
    </row>
    <row r="79" spans="1:7" ht="12.95" customHeight="1" x14ac:dyDescent="0.2">
      <c r="A79" s="6"/>
      <c r="C79" s="64"/>
      <c r="D79" s="64"/>
      <c r="E79" s="64"/>
      <c r="F79" s="64"/>
    </row>
    <row r="80" spans="1:7" ht="12.95" customHeight="1" x14ac:dyDescent="0.2">
      <c r="C80" s="35"/>
      <c r="D80" s="35"/>
      <c r="E80" s="35"/>
      <c r="F80" s="35"/>
    </row>
    <row r="81" spans="3:6" ht="12.95" customHeight="1" x14ac:dyDescent="0.2">
      <c r="C81" s="35"/>
      <c r="D81" s="35"/>
      <c r="E81" s="49"/>
      <c r="F81" s="35"/>
    </row>
    <row r="82" spans="3:6" ht="12.95" customHeight="1" x14ac:dyDescent="0.2">
      <c r="E82" s="22"/>
      <c r="F82" s="17"/>
    </row>
    <row r="83" spans="3:6" ht="12.95" customHeight="1" x14ac:dyDescent="0.2">
      <c r="E83" s="17"/>
      <c r="F83" s="17"/>
    </row>
    <row r="84" spans="3:6" ht="12.95" customHeight="1" x14ac:dyDescent="0.2">
      <c r="F84" s="17"/>
    </row>
    <row r="85" spans="3:6" ht="12.95" customHeight="1" x14ac:dyDescent="0.2">
      <c r="F85" s="17"/>
    </row>
  </sheetData>
  <mergeCells count="15">
    <mergeCell ref="A70:A71"/>
    <mergeCell ref="A76:E76"/>
    <mergeCell ref="C77:F79"/>
    <mergeCell ref="J13:K13"/>
    <mergeCell ref="F33:H33"/>
    <mergeCell ref="F55:H55"/>
    <mergeCell ref="A61:E61"/>
    <mergeCell ref="A62:A63"/>
    <mergeCell ref="A69:E69"/>
    <mergeCell ref="J8:K8"/>
    <mergeCell ref="A1:E1"/>
    <mergeCell ref="A2:E2"/>
    <mergeCell ref="A3:E3"/>
    <mergeCell ref="A6:A7"/>
    <mergeCell ref="C6:C7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010DA-6A0C-41E2-9088-6D1E383A1C29}">
  <sheetPr>
    <pageSetUpPr fitToPage="1"/>
  </sheetPr>
  <dimension ref="A1:K84"/>
  <sheetViews>
    <sheetView showGridLines="0" topLeftCell="A73" zoomScaleNormal="10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3.28515625" style="2" bestFit="1" customWidth="1"/>
    <col min="4" max="4" width="34.8554687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10.85546875" style="2" bestFit="1" customWidth="1"/>
    <col min="10" max="10" width="23.28515625" style="2" bestFit="1" customWidth="1"/>
    <col min="11" max="11" width="12.140625" style="2" bestFit="1" customWidth="1"/>
    <col min="12" max="12" width="12.5703125" style="2" bestFit="1" customWidth="1"/>
    <col min="13" max="16384" width="9.140625" style="2"/>
  </cols>
  <sheetData>
    <row r="1" spans="1:11" ht="12.95" customHeight="1" x14ac:dyDescent="0.2">
      <c r="A1" s="60" t="s">
        <v>149</v>
      </c>
      <c r="B1" s="60"/>
      <c r="C1" s="60"/>
      <c r="D1" s="6"/>
      <c r="E1" s="6"/>
    </row>
    <row r="2" spans="1:11" ht="12.95" customHeight="1" x14ac:dyDescent="0.2">
      <c r="A2" s="61" t="s">
        <v>0</v>
      </c>
      <c r="B2" s="61"/>
      <c r="C2" s="61"/>
      <c r="D2" s="42"/>
      <c r="E2" s="42"/>
    </row>
    <row r="3" spans="1:11" ht="12.95" customHeight="1" thickBot="1" x14ac:dyDescent="0.25">
      <c r="A3" s="61" t="s">
        <v>158</v>
      </c>
      <c r="B3" s="61"/>
      <c r="C3" s="42"/>
      <c r="D3" s="42"/>
      <c r="E3" s="42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2"/>
      <c r="B6" s="3" t="s">
        <v>121</v>
      </c>
      <c r="C6" s="66" t="s">
        <v>54</v>
      </c>
    </row>
    <row r="7" spans="1:11" ht="12.95" customHeight="1" thickBot="1" x14ac:dyDescent="0.25">
      <c r="A7" s="63"/>
      <c r="B7" s="3" t="s">
        <v>3</v>
      </c>
      <c r="C7" s="66"/>
    </row>
    <row r="8" spans="1:11" ht="12.95" customHeight="1" thickBot="1" x14ac:dyDescent="0.25">
      <c r="A8" s="4" t="s">
        <v>4</v>
      </c>
      <c r="B8" s="11">
        <f>Mai!B59</f>
        <v>12884965.850000007</v>
      </c>
      <c r="F8" s="18" t="s">
        <v>107</v>
      </c>
      <c r="G8" s="21" t="s">
        <v>159</v>
      </c>
      <c r="H8" s="21" t="s">
        <v>54</v>
      </c>
      <c r="I8" s="31"/>
      <c r="J8" s="58" t="s">
        <v>101</v>
      </c>
      <c r="K8" s="58"/>
    </row>
    <row r="9" spans="1:11" ht="12.95" customHeight="1" thickBot="1" x14ac:dyDescent="0.25">
      <c r="A9" s="7" t="s">
        <v>5</v>
      </c>
      <c r="B9" s="14"/>
      <c r="F9" s="23" t="s">
        <v>130</v>
      </c>
      <c r="G9" s="16">
        <v>3490808.31</v>
      </c>
      <c r="H9" s="44">
        <v>1</v>
      </c>
      <c r="I9" s="33"/>
      <c r="J9" s="18" t="s">
        <v>70</v>
      </c>
      <c r="K9" s="26" t="s">
        <v>162</v>
      </c>
    </row>
    <row r="10" spans="1:11" ht="12.95" customHeight="1" thickBot="1" x14ac:dyDescent="0.25">
      <c r="A10" s="4" t="s">
        <v>6</v>
      </c>
      <c r="B10" s="10">
        <v>3490808.31</v>
      </c>
      <c r="C10" s="2">
        <v>1</v>
      </c>
      <c r="F10" s="23" t="s">
        <v>72</v>
      </c>
      <c r="G10" s="16">
        <v>99758.49</v>
      </c>
      <c r="H10" s="44">
        <v>7</v>
      </c>
      <c r="I10" s="33"/>
      <c r="J10" s="18" t="s">
        <v>116</v>
      </c>
      <c r="K10" s="26" t="s">
        <v>163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73</v>
      </c>
      <c r="G11" s="16">
        <v>-346612.01</v>
      </c>
      <c r="H11" s="44">
        <v>15</v>
      </c>
      <c r="I11" s="33"/>
      <c r="J11" s="18" t="s">
        <v>71</v>
      </c>
      <c r="K11" s="26" t="s">
        <v>164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74</v>
      </c>
      <c r="G12" s="16">
        <v>-155171.61000000002</v>
      </c>
      <c r="H12" s="44">
        <v>16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75</v>
      </c>
      <c r="G13" s="16">
        <v>-114901.04999999999</v>
      </c>
      <c r="H13" s="44">
        <v>18</v>
      </c>
      <c r="I13" s="33"/>
      <c r="J13" s="58" t="s">
        <v>102</v>
      </c>
      <c r="K13" s="58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86</v>
      </c>
      <c r="G14" s="16">
        <v>-3840.98</v>
      </c>
      <c r="H14" s="44">
        <v>19</v>
      </c>
      <c r="I14" s="33"/>
      <c r="J14" s="18" t="s">
        <v>114</v>
      </c>
      <c r="K14" s="26">
        <v>2448341.96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77</v>
      </c>
      <c r="G15" s="16">
        <v>-62903.929999999993</v>
      </c>
      <c r="H15" s="44">
        <v>21</v>
      </c>
      <c r="I15" s="33"/>
      <c r="J15" s="18" t="s">
        <v>145</v>
      </c>
      <c r="K15" s="26">
        <v>7245265.0499999998</v>
      </c>
    </row>
    <row r="16" spans="1:11" ht="12.95" customHeight="1" thickBot="1" x14ac:dyDescent="0.25">
      <c r="A16" s="4" t="s">
        <v>7</v>
      </c>
      <c r="B16" s="10">
        <v>99758.49</v>
      </c>
      <c r="C16" s="2">
        <v>7</v>
      </c>
      <c r="F16" s="23" t="s">
        <v>78</v>
      </c>
      <c r="G16" s="16">
        <v>-41786.570000000007</v>
      </c>
      <c r="H16" s="44">
        <v>25</v>
      </c>
      <c r="I16" s="33"/>
      <c r="J16" s="18" t="s">
        <v>106</v>
      </c>
      <c r="K16" s="26">
        <v>844.05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79</v>
      </c>
      <c r="G17" s="16">
        <v>-224228.51999999996</v>
      </c>
      <c r="H17" s="44">
        <v>27</v>
      </c>
      <c r="I17" s="33"/>
      <c r="J17" s="30"/>
      <c r="K17" s="26">
        <f>SUM(K14:K16)</f>
        <v>9694451.0600000005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80</v>
      </c>
      <c r="G18" s="16">
        <v>-577927.89999999991</v>
      </c>
      <c r="H18" s="44">
        <v>28</v>
      </c>
      <c r="I18" s="33"/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81</v>
      </c>
      <c r="G19" s="16">
        <v>-35095.039999999994</v>
      </c>
      <c r="H19" s="44">
        <v>30</v>
      </c>
      <c r="I19" s="33"/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87</v>
      </c>
      <c r="G20" s="16">
        <v>-1680.8999999999999</v>
      </c>
      <c r="H20" s="44">
        <v>31</v>
      </c>
      <c r="I20" s="33"/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82</v>
      </c>
      <c r="G21" s="16">
        <v>-10344.880000000001</v>
      </c>
      <c r="H21" s="44">
        <v>34</v>
      </c>
      <c r="I21" s="33"/>
    </row>
    <row r="22" spans="1:11" ht="12.95" customHeight="1" thickBot="1" x14ac:dyDescent="0.25">
      <c r="A22" s="4" t="s">
        <v>97</v>
      </c>
      <c r="B22" s="10"/>
      <c r="C22" s="2">
        <v>13</v>
      </c>
      <c r="F22" s="23" t="s">
        <v>83</v>
      </c>
      <c r="G22" s="16">
        <v>-788.72</v>
      </c>
      <c r="H22" s="44">
        <v>35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84</v>
      </c>
      <c r="G23" s="16">
        <v>-20.799999999999997</v>
      </c>
      <c r="H23" s="44">
        <v>36</v>
      </c>
      <c r="I23" s="33"/>
    </row>
    <row r="24" spans="1:11" ht="12.95" customHeight="1" thickBot="1" x14ac:dyDescent="0.25">
      <c r="A24" s="5" t="s">
        <v>9</v>
      </c>
      <c r="B24" s="11">
        <f>SUM(B10:B23)</f>
        <v>3590566.8000000003</v>
      </c>
      <c r="F24" s="23" t="s">
        <v>85</v>
      </c>
      <c r="G24" s="16">
        <v>-1079405.3700000001</v>
      </c>
      <c r="H24" s="44">
        <v>40</v>
      </c>
      <c r="I24" s="34"/>
    </row>
    <row r="25" spans="1:11" ht="12.95" customHeight="1" thickBot="1" x14ac:dyDescent="0.25">
      <c r="A25" s="7" t="s">
        <v>10</v>
      </c>
      <c r="B25" s="14"/>
      <c r="F25" s="19" t="s">
        <v>56</v>
      </c>
      <c r="G25" s="20">
        <f>SUBTOTAL(9,G9:G24)</f>
        <v>935858.52000000048</v>
      </c>
      <c r="H25" s="20"/>
      <c r="I25" s="33"/>
    </row>
    <row r="26" spans="1:11" ht="12.95" customHeight="1" thickBot="1" x14ac:dyDescent="0.25">
      <c r="A26" s="5" t="s">
        <v>11</v>
      </c>
      <c r="B26" s="11">
        <f>SUM(B27:B36)</f>
        <v>683429.58</v>
      </c>
      <c r="F26" s="23"/>
      <c r="G26" s="16"/>
      <c r="H26" s="12"/>
      <c r="I26" s="33"/>
    </row>
    <row r="27" spans="1:11" ht="12.95" customHeight="1" thickBot="1" x14ac:dyDescent="0.25">
      <c r="A27" s="8" t="s">
        <v>12</v>
      </c>
      <c r="B27" s="10">
        <f>346612.01-B29-B35</f>
        <v>309198.28999999998</v>
      </c>
      <c r="C27" s="2">
        <v>15</v>
      </c>
      <c r="I27" s="32"/>
    </row>
    <row r="28" spans="1:11" ht="12.95" customHeight="1" thickBot="1" x14ac:dyDescent="0.25">
      <c r="A28" s="8" t="s">
        <v>13</v>
      </c>
      <c r="B28" s="10">
        <v>155171.60999999999</v>
      </c>
      <c r="C28" s="2">
        <v>16</v>
      </c>
      <c r="F28" s="13"/>
    </row>
    <row r="29" spans="1:11" ht="12.95" customHeight="1" thickBot="1" x14ac:dyDescent="0.25">
      <c r="A29" s="8" t="s">
        <v>14</v>
      </c>
      <c r="B29" s="10">
        <v>35550.449999999997</v>
      </c>
      <c r="C29" s="2">
        <v>17</v>
      </c>
    </row>
    <row r="30" spans="1:11" ht="12.95" customHeight="1" thickBot="1" x14ac:dyDescent="0.25">
      <c r="A30" s="8" t="s">
        <v>15</v>
      </c>
      <c r="B30" s="10">
        <f>114901.05-6400.56</f>
        <v>108500.49</v>
      </c>
      <c r="C30" s="2">
        <v>18</v>
      </c>
    </row>
    <row r="31" spans="1:11" ht="12.95" customHeight="1" thickBot="1" x14ac:dyDescent="0.25">
      <c r="A31" s="8" t="s">
        <v>16</v>
      </c>
      <c r="B31" s="10">
        <v>3840.98</v>
      </c>
      <c r="C31" s="2">
        <v>19</v>
      </c>
    </row>
    <row r="32" spans="1:11" ht="12.95" customHeight="1" thickBot="1" x14ac:dyDescent="0.25">
      <c r="A32" s="8" t="s">
        <v>17</v>
      </c>
      <c r="B32" s="10"/>
      <c r="C32" s="2">
        <v>20</v>
      </c>
      <c r="F32" s="59" t="s">
        <v>160</v>
      </c>
      <c r="G32" s="59"/>
      <c r="H32" s="59"/>
      <c r="I32" s="28"/>
    </row>
    <row r="33" spans="1:11" ht="12.95" customHeight="1" thickBot="1" x14ac:dyDescent="0.25">
      <c r="A33" s="8" t="s">
        <v>18</v>
      </c>
      <c r="B33" s="10">
        <f>62903.93+6400.56</f>
        <v>69304.490000000005</v>
      </c>
      <c r="C33" s="2">
        <v>21</v>
      </c>
      <c r="F33" s="12" t="s">
        <v>57</v>
      </c>
      <c r="G33" s="40">
        <v>3799.4</v>
      </c>
      <c r="H33" s="12">
        <v>21</v>
      </c>
      <c r="I33" s="16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2601.16</v>
      </c>
      <c r="H34" s="12">
        <v>21</v>
      </c>
      <c r="I34" s="12"/>
    </row>
    <row r="35" spans="1:11" ht="12.95" customHeight="1" thickBot="1" x14ac:dyDescent="0.25">
      <c r="A35" s="8" t="s">
        <v>99</v>
      </c>
      <c r="B35" s="10">
        <v>1863.27</v>
      </c>
      <c r="C35" s="2">
        <v>23</v>
      </c>
      <c r="F35" s="12" t="s">
        <v>59</v>
      </c>
      <c r="G35" s="24"/>
      <c r="H35" s="12">
        <v>20</v>
      </c>
      <c r="I35" s="16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/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266015.08999999997</v>
      </c>
      <c r="F37" s="12"/>
      <c r="G37" s="38">
        <f>SUM(G33:G36)</f>
        <v>6400.5599999999995</v>
      </c>
      <c r="H37" s="12"/>
      <c r="I37" s="38"/>
    </row>
    <row r="38" spans="1:11" ht="12.95" customHeight="1" thickBot="1" x14ac:dyDescent="0.25">
      <c r="A38" s="5" t="s">
        <v>21</v>
      </c>
      <c r="B38" s="11">
        <f>SUM(B39:B40)</f>
        <v>41786.57</v>
      </c>
      <c r="F38" s="12"/>
      <c r="G38" s="12"/>
      <c r="H38" s="12"/>
      <c r="I38" s="12"/>
    </row>
    <row r="39" spans="1:11" ht="12.95" customHeight="1" thickBot="1" x14ac:dyDescent="0.25">
      <c r="A39" s="8" t="s">
        <v>22</v>
      </c>
      <c r="B39" s="10">
        <v>41786.57</v>
      </c>
      <c r="C39" s="2">
        <v>25</v>
      </c>
      <c r="F39" s="23" t="s">
        <v>61</v>
      </c>
      <c r="G39" s="24">
        <v>4724.2</v>
      </c>
      <c r="H39" s="12">
        <v>17</v>
      </c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/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224228.52</v>
      </c>
      <c r="C41" s="2">
        <v>27</v>
      </c>
      <c r="F41" s="23" t="s">
        <v>63</v>
      </c>
      <c r="G41" s="24">
        <v>1792.12</v>
      </c>
      <c r="H41" s="12">
        <v>17</v>
      </c>
      <c r="I41" s="12"/>
      <c r="J41" s="17"/>
    </row>
    <row r="42" spans="1:11" ht="12.95" customHeight="1" thickBot="1" x14ac:dyDescent="0.25">
      <c r="A42" s="5" t="s">
        <v>25</v>
      </c>
      <c r="B42" s="11">
        <f>SUM(B43:B45)</f>
        <v>613022.94000000006</v>
      </c>
      <c r="F42" s="23" t="s">
        <v>64</v>
      </c>
      <c r="G42" s="24">
        <v>317.57</v>
      </c>
      <c r="H42" s="12">
        <v>17</v>
      </c>
      <c r="I42" s="12"/>
    </row>
    <row r="43" spans="1:11" ht="12.95" customHeight="1" thickBot="1" x14ac:dyDescent="0.25">
      <c r="A43" s="8" t="s">
        <v>26</v>
      </c>
      <c r="B43" s="10">
        <v>577927.9</v>
      </c>
      <c r="C43" s="2">
        <v>28</v>
      </c>
      <c r="F43" s="23" t="s">
        <v>65</v>
      </c>
      <c r="G43" s="24"/>
      <c r="H43" s="12">
        <v>17</v>
      </c>
      <c r="I43" s="12"/>
      <c r="K43" s="17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12"/>
    </row>
    <row r="45" spans="1:11" ht="12.95" customHeight="1" thickBot="1" x14ac:dyDescent="0.25">
      <c r="A45" s="8" t="s">
        <v>28</v>
      </c>
      <c r="B45" s="10">
        <v>35095.040000000001</v>
      </c>
      <c r="C45" s="2">
        <v>30</v>
      </c>
      <c r="F45" s="23" t="s">
        <v>109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1680.9</v>
      </c>
      <c r="F46" s="23" t="s">
        <v>66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>
        <v>1680.9</v>
      </c>
      <c r="C47" s="2">
        <v>31</v>
      </c>
      <c r="F47" s="23" t="s">
        <v>67</v>
      </c>
      <c r="G47" s="24">
        <v>16883.919999999998</v>
      </c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11189.46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>
        <v>643.17999999999995</v>
      </c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10344.879999999999</v>
      </c>
      <c r="C50" s="2">
        <v>34</v>
      </c>
      <c r="F50" s="23" t="s">
        <v>110</v>
      </c>
      <c r="G50" s="24"/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788.72</v>
      </c>
      <c r="C51" s="2">
        <v>35</v>
      </c>
      <c r="F51" s="13"/>
      <c r="G51" s="37">
        <f>SUM(G39:G50)</f>
        <v>35550.449999999997</v>
      </c>
    </row>
    <row r="52" spans="1:9" ht="12.95" customHeight="1" thickBot="1" x14ac:dyDescent="0.25">
      <c r="A52" s="9" t="s">
        <v>35</v>
      </c>
      <c r="B52" s="10">
        <v>20.8</v>
      </c>
      <c r="C52" s="2">
        <v>36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  <c r="F54" s="59" t="s">
        <v>161</v>
      </c>
      <c r="G54" s="59"/>
      <c r="H54" s="59"/>
    </row>
    <row r="55" spans="1:9" ht="12.95" customHeight="1" thickBot="1" x14ac:dyDescent="0.25">
      <c r="A55" s="9" t="s">
        <v>38</v>
      </c>
      <c r="B55" s="10"/>
      <c r="C55" s="2">
        <v>39</v>
      </c>
      <c r="F55" s="23" t="s">
        <v>111</v>
      </c>
      <c r="G55" s="24"/>
      <c r="H55" s="12">
        <v>23</v>
      </c>
    </row>
    <row r="56" spans="1:9" ht="12.95" customHeight="1" thickBot="1" x14ac:dyDescent="0.25">
      <c r="A56" s="9" t="s">
        <v>39</v>
      </c>
      <c r="B56" s="10">
        <v>1079405.3700000001</v>
      </c>
      <c r="C56" s="2">
        <v>40</v>
      </c>
      <c r="F56" s="23" t="s">
        <v>112</v>
      </c>
      <c r="G56" s="24">
        <v>2694.92</v>
      </c>
      <c r="H56" s="12">
        <v>23</v>
      </c>
    </row>
    <row r="57" spans="1:9" ht="12.95" customHeight="1" thickBot="1" x14ac:dyDescent="0.25">
      <c r="A57" s="5" t="s">
        <v>40</v>
      </c>
      <c r="B57" s="11">
        <f>B26+B37+B42+B46+B50+B51+B52+B53+B54+B55+B56</f>
        <v>2654708.2799999998</v>
      </c>
      <c r="F57" s="23" t="s">
        <v>115</v>
      </c>
      <c r="G57" s="24">
        <v>381.02</v>
      </c>
      <c r="H57" s="12">
        <v>23</v>
      </c>
      <c r="I57" s="12"/>
    </row>
    <row r="58" spans="1:9" ht="12.95" customHeight="1" thickBot="1" x14ac:dyDescent="0.25">
      <c r="A58" s="5" t="s">
        <v>41</v>
      </c>
      <c r="B58" s="11">
        <f>B24-B57</f>
        <v>935858.52000000048</v>
      </c>
      <c r="F58" s="13"/>
      <c r="G58" s="37">
        <f>SUM(G55:G57)</f>
        <v>3075.94</v>
      </c>
    </row>
    <row r="59" spans="1:9" ht="12.95" customHeight="1" thickBot="1" x14ac:dyDescent="0.25">
      <c r="A59" s="5" t="s">
        <v>42</v>
      </c>
      <c r="B59" s="11">
        <f>B8+B24-B57</f>
        <v>13820824.370000008</v>
      </c>
      <c r="F59" s="67" t="s">
        <v>165</v>
      </c>
      <c r="G59" s="67"/>
    </row>
    <row r="60" spans="1:9" ht="12.95" customHeight="1" x14ac:dyDescent="0.2">
      <c r="A60" s="6"/>
      <c r="B60" s="17"/>
    </row>
    <row r="61" spans="1:9" ht="12.95" customHeight="1" thickBot="1" x14ac:dyDescent="0.25">
      <c r="A61" s="65" t="s">
        <v>43</v>
      </c>
      <c r="B61" s="65"/>
      <c r="C61" s="65"/>
      <c r="D61" s="65"/>
      <c r="E61" s="65"/>
    </row>
    <row r="62" spans="1:9" ht="12.95" customHeight="1" thickBot="1" x14ac:dyDescent="0.25">
      <c r="A62" s="62"/>
      <c r="B62" s="3" t="str">
        <f>B6</f>
        <v>Junho</v>
      </c>
    </row>
    <row r="63" spans="1:9" ht="12.95" customHeight="1" thickBot="1" x14ac:dyDescent="0.25">
      <c r="A63" s="63"/>
      <c r="B63" s="3" t="s">
        <v>3</v>
      </c>
    </row>
    <row r="64" spans="1:9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7245265.05+2448341.96</f>
        <v>9693607.0099999998</v>
      </c>
    </row>
    <row r="66" spans="1:7" ht="12.95" customHeight="1" thickBot="1" x14ac:dyDescent="0.25">
      <c r="A66" s="4" t="s">
        <v>46</v>
      </c>
      <c r="B66" s="10">
        <v>844.05</v>
      </c>
    </row>
    <row r="67" spans="1:7" ht="12.95" customHeight="1" thickBot="1" x14ac:dyDescent="0.25">
      <c r="A67" s="5" t="s">
        <v>47</v>
      </c>
      <c r="B67" s="11">
        <f>SUM(B64:B66)</f>
        <v>9694451.0600000005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5" t="s">
        <v>48</v>
      </c>
      <c r="B69" s="65"/>
      <c r="C69" s="65"/>
      <c r="D69" s="65"/>
      <c r="E69" s="65"/>
    </row>
    <row r="70" spans="1:7" ht="12.95" customHeight="1" thickBot="1" x14ac:dyDescent="0.25">
      <c r="A70" s="62"/>
      <c r="B70" s="3" t="str">
        <f>B62</f>
        <v>Junho</v>
      </c>
      <c r="G70" s="15"/>
    </row>
    <row r="71" spans="1:7" ht="12.95" customHeight="1" thickBot="1" x14ac:dyDescent="0.25">
      <c r="A71" s="63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+B65+B66</f>
        <v>9694451.0600000005</v>
      </c>
      <c r="C73" s="25"/>
    </row>
    <row r="74" spans="1:7" ht="12.95" customHeight="1" thickBot="1" x14ac:dyDescent="0.25">
      <c r="A74" s="5" t="s">
        <v>47</v>
      </c>
      <c r="B74" s="11">
        <f>SUM(B72:B73)</f>
        <v>9694451.0600000005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65" t="s">
        <v>51</v>
      </c>
      <c r="B76" s="65"/>
      <c r="C76" s="65"/>
      <c r="D76" s="65"/>
      <c r="E76" s="65"/>
      <c r="F76" s="50"/>
      <c r="G76" s="17"/>
    </row>
    <row r="77" spans="1:7" ht="12.95" customHeight="1" thickBot="1" x14ac:dyDescent="0.25">
      <c r="A77" s="4"/>
      <c r="B77" s="3" t="s">
        <v>52</v>
      </c>
      <c r="C77" s="64" t="s">
        <v>166</v>
      </c>
      <c r="D77" s="64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Junho</v>
      </c>
      <c r="C78" s="64"/>
      <c r="D78" s="64"/>
      <c r="E78" s="50"/>
      <c r="F78" s="50"/>
    </row>
    <row r="79" spans="1:7" ht="12.95" customHeight="1" x14ac:dyDescent="0.2">
      <c r="A79" s="6"/>
      <c r="C79" s="64"/>
      <c r="D79" s="64"/>
      <c r="E79" s="50"/>
      <c r="F79" s="35"/>
    </row>
    <row r="80" spans="1:7" ht="12.95" customHeight="1" x14ac:dyDescent="0.2">
      <c r="C80" s="35"/>
      <c r="D80" s="35"/>
      <c r="E80" s="35"/>
    </row>
    <row r="81" spans="3:5" ht="12.95" customHeight="1" x14ac:dyDescent="0.2">
      <c r="C81" s="35"/>
      <c r="D81" s="49"/>
      <c r="E81" s="17"/>
    </row>
    <row r="82" spans="3:5" ht="12.95" customHeight="1" x14ac:dyDescent="0.2">
      <c r="D82" s="22"/>
      <c r="E82" s="17"/>
    </row>
    <row r="83" spans="3:5" ht="12.95" customHeight="1" x14ac:dyDescent="0.2">
      <c r="D83" s="17"/>
      <c r="E83" s="17"/>
    </row>
    <row r="84" spans="3:5" ht="12.95" customHeight="1" x14ac:dyDescent="0.2">
      <c r="E84" s="17"/>
    </row>
  </sheetData>
  <mergeCells count="16">
    <mergeCell ref="J8:K8"/>
    <mergeCell ref="A6:A7"/>
    <mergeCell ref="C6:C7"/>
    <mergeCell ref="F59:G59"/>
    <mergeCell ref="J13:K13"/>
    <mergeCell ref="F32:H32"/>
    <mergeCell ref="F54:H54"/>
    <mergeCell ref="A61:E61"/>
    <mergeCell ref="C77:D79"/>
    <mergeCell ref="A1:C1"/>
    <mergeCell ref="A2:C2"/>
    <mergeCell ref="A3:B3"/>
    <mergeCell ref="A70:A71"/>
    <mergeCell ref="A76:E76"/>
    <mergeCell ref="A62:A63"/>
    <mergeCell ref="A69:E69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0CAA-2430-40EB-9353-806CA9819FAB}">
  <sheetPr>
    <pageSetUpPr fitToPage="1"/>
  </sheetPr>
  <dimension ref="A1:K84"/>
  <sheetViews>
    <sheetView showGridLines="0" topLeftCell="A70" zoomScale="110" zoomScaleNormal="11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3.28515625" style="2" bestFit="1" customWidth="1"/>
    <col min="4" max="4" width="29.14062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10.85546875" style="2" bestFit="1" customWidth="1"/>
    <col min="10" max="10" width="23.28515625" style="2" bestFit="1" customWidth="1"/>
    <col min="11" max="11" width="12.140625" style="2" bestFit="1" customWidth="1"/>
    <col min="12" max="12" width="12.5703125" style="2" bestFit="1" customWidth="1"/>
    <col min="13" max="16384" width="9.140625" style="2"/>
  </cols>
  <sheetData>
    <row r="1" spans="1:11" ht="12.95" customHeight="1" x14ac:dyDescent="0.2">
      <c r="A1" s="60" t="s">
        <v>149</v>
      </c>
      <c r="B1" s="60"/>
      <c r="C1" s="60"/>
      <c r="D1" s="6"/>
      <c r="E1" s="6"/>
    </row>
    <row r="2" spans="1:11" ht="12.95" customHeight="1" x14ac:dyDescent="0.2">
      <c r="A2" s="61" t="s">
        <v>0</v>
      </c>
      <c r="B2" s="61"/>
      <c r="C2" s="61"/>
      <c r="D2" s="42"/>
      <c r="E2" s="42"/>
    </row>
    <row r="3" spans="1:11" ht="12.95" customHeight="1" thickBot="1" x14ac:dyDescent="0.25">
      <c r="A3" s="61" t="s">
        <v>167</v>
      </c>
      <c r="B3" s="61"/>
      <c r="C3" s="42"/>
      <c r="D3" s="42"/>
      <c r="E3" s="42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2"/>
      <c r="B6" s="3" t="s">
        <v>122</v>
      </c>
      <c r="C6" s="66" t="s">
        <v>54</v>
      </c>
    </row>
    <row r="7" spans="1:11" ht="12.95" customHeight="1" thickBot="1" x14ac:dyDescent="0.25">
      <c r="A7" s="63"/>
      <c r="B7" s="3" t="s">
        <v>3</v>
      </c>
      <c r="C7" s="66"/>
    </row>
    <row r="8" spans="1:11" ht="12.95" customHeight="1" thickBot="1" x14ac:dyDescent="0.25">
      <c r="A8" s="4" t="s">
        <v>4</v>
      </c>
      <c r="B8" s="11">
        <f>Jun!B59</f>
        <v>13820824.370000008</v>
      </c>
      <c r="F8" s="18" t="s">
        <v>107</v>
      </c>
      <c r="G8" s="21" t="s">
        <v>172</v>
      </c>
      <c r="H8" s="21" t="s">
        <v>54</v>
      </c>
      <c r="I8" s="31"/>
      <c r="J8" s="58" t="s">
        <v>101</v>
      </c>
      <c r="K8" s="58"/>
    </row>
    <row r="9" spans="1:11" ht="12.95" customHeight="1" thickBot="1" x14ac:dyDescent="0.25">
      <c r="A9" s="7" t="s">
        <v>5</v>
      </c>
      <c r="B9" s="14"/>
      <c r="F9" s="23" t="s">
        <v>130</v>
      </c>
      <c r="G9" s="16">
        <v>2806661.42</v>
      </c>
      <c r="H9" s="44">
        <v>1</v>
      </c>
      <c r="I9" s="33"/>
      <c r="J9" s="18" t="s">
        <v>70</v>
      </c>
      <c r="K9" s="26" t="s">
        <v>169</v>
      </c>
    </row>
    <row r="10" spans="1:11" ht="12.95" customHeight="1" thickBot="1" x14ac:dyDescent="0.25">
      <c r="A10" s="4" t="s">
        <v>6</v>
      </c>
      <c r="B10" s="10">
        <v>2806661.42</v>
      </c>
      <c r="C10" s="2">
        <v>1</v>
      </c>
      <c r="F10" s="23" t="s">
        <v>72</v>
      </c>
      <c r="G10" s="16">
        <v>122287.52</v>
      </c>
      <c r="H10" s="44">
        <v>7</v>
      </c>
      <c r="I10" s="33"/>
      <c r="J10" s="18" t="s">
        <v>116</v>
      </c>
      <c r="K10" s="26" t="s">
        <v>170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147</v>
      </c>
      <c r="G11" s="16">
        <v>4207.5</v>
      </c>
      <c r="H11" s="44">
        <v>13</v>
      </c>
      <c r="I11" s="33"/>
      <c r="J11" s="18" t="s">
        <v>71</v>
      </c>
      <c r="K11" s="26" t="s">
        <v>171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73</v>
      </c>
      <c r="G12" s="16">
        <v>-347356.49</v>
      </c>
      <c r="H12" s="44">
        <v>15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74</v>
      </c>
      <c r="G13" s="16">
        <v>-152925.1</v>
      </c>
      <c r="H13" s="44">
        <v>16</v>
      </c>
      <c r="I13" s="33"/>
      <c r="J13" s="58" t="s">
        <v>102</v>
      </c>
      <c r="K13" s="58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75</v>
      </c>
      <c r="G14" s="16">
        <v>-117710.3</v>
      </c>
      <c r="H14" s="44">
        <v>18</v>
      </c>
      <c r="I14" s="33"/>
      <c r="J14" s="18" t="s">
        <v>114</v>
      </c>
      <c r="K14" s="26">
        <v>750572.7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86</v>
      </c>
      <c r="G15" s="16">
        <v>-12711.86</v>
      </c>
      <c r="H15" s="44">
        <v>19</v>
      </c>
      <c r="I15" s="33"/>
      <c r="J15" s="18" t="s">
        <v>145</v>
      </c>
      <c r="K15" s="26">
        <f>1475347.52+12367.99+7333686.95</f>
        <v>8821402.4600000009</v>
      </c>
    </row>
    <row r="16" spans="1:11" ht="12.95" customHeight="1" thickBot="1" x14ac:dyDescent="0.25">
      <c r="A16" s="4" t="s">
        <v>7</v>
      </c>
      <c r="B16" s="10">
        <v>122287.52</v>
      </c>
      <c r="C16" s="2">
        <v>7</v>
      </c>
      <c r="F16" s="23" t="s">
        <v>77</v>
      </c>
      <c r="G16" s="16">
        <v>-62893.89</v>
      </c>
      <c r="H16" s="44">
        <v>21</v>
      </c>
      <c r="I16" s="33"/>
      <c r="J16" s="18" t="s">
        <v>106</v>
      </c>
      <c r="K16" s="26">
        <v>536.70000000000005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78</v>
      </c>
      <c r="G17" s="16">
        <v>-30100.820000000007</v>
      </c>
      <c r="H17" s="44">
        <v>25</v>
      </c>
      <c r="I17" s="33"/>
      <c r="J17" s="30"/>
      <c r="K17" s="26">
        <f>SUM(K14:K16)</f>
        <v>9572511.8599999994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79</v>
      </c>
      <c r="G18" s="16">
        <v>-292312.23</v>
      </c>
      <c r="H18" s="44">
        <v>27</v>
      </c>
      <c r="I18" s="33"/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80</v>
      </c>
      <c r="G19" s="16">
        <v>-734278.5399999998</v>
      </c>
      <c r="H19" s="44">
        <v>28</v>
      </c>
      <c r="I19" s="33"/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81</v>
      </c>
      <c r="G20" s="16">
        <v>-30672.87</v>
      </c>
      <c r="H20" s="44">
        <v>30</v>
      </c>
      <c r="I20" s="33"/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82</v>
      </c>
      <c r="G21" s="16">
        <v>-7101.2900000000009</v>
      </c>
      <c r="H21" s="44">
        <v>34</v>
      </c>
      <c r="I21" s="33"/>
    </row>
    <row r="22" spans="1:11" ht="12.95" customHeight="1" thickBot="1" x14ac:dyDescent="0.25">
      <c r="A22" s="4" t="s">
        <v>97</v>
      </c>
      <c r="B22" s="10">
        <v>4207.5</v>
      </c>
      <c r="C22" s="2">
        <v>13</v>
      </c>
      <c r="F22" s="23" t="s">
        <v>83</v>
      </c>
      <c r="G22" s="16">
        <v>-788.72</v>
      </c>
      <c r="H22" s="44">
        <v>35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84</v>
      </c>
      <c r="G23" s="16">
        <v>-22.769999999999992</v>
      </c>
      <c r="H23" s="44">
        <v>36</v>
      </c>
      <c r="I23" s="33"/>
    </row>
    <row r="24" spans="1:11" ht="12.95" customHeight="1" thickBot="1" x14ac:dyDescent="0.25">
      <c r="A24" s="5" t="s">
        <v>9</v>
      </c>
      <c r="B24" s="11">
        <f>SUM(B10:B23)</f>
        <v>2933156.44</v>
      </c>
      <c r="F24" s="23" t="s">
        <v>85</v>
      </c>
      <c r="G24" s="16">
        <v>-1266220.76</v>
      </c>
      <c r="H24" s="44">
        <v>40</v>
      </c>
      <c r="I24" s="34"/>
    </row>
    <row r="25" spans="1:11" ht="12.95" customHeight="1" thickBot="1" x14ac:dyDescent="0.25">
      <c r="A25" s="7" t="s">
        <v>10</v>
      </c>
      <c r="B25" s="14"/>
      <c r="F25" s="19" t="s">
        <v>56</v>
      </c>
      <c r="G25" s="20">
        <f>SUBTOTAL(9,G9:G24)</f>
        <v>-121939.19999999949</v>
      </c>
      <c r="H25" s="20"/>
      <c r="I25" s="33"/>
    </row>
    <row r="26" spans="1:11" ht="12.95" customHeight="1" thickBot="1" x14ac:dyDescent="0.25">
      <c r="A26" s="5" t="s">
        <v>11</v>
      </c>
      <c r="B26" s="11">
        <f>SUM(B27:B36)</f>
        <v>693597.64</v>
      </c>
      <c r="F26" s="23"/>
      <c r="G26" s="16"/>
      <c r="H26" s="12"/>
      <c r="I26" s="33"/>
    </row>
    <row r="27" spans="1:11" ht="12.95" customHeight="1" thickBot="1" x14ac:dyDescent="0.25">
      <c r="A27" s="8" t="s">
        <v>12</v>
      </c>
      <c r="B27" s="10">
        <f>347356.49-B29</f>
        <v>317143.82</v>
      </c>
      <c r="C27" s="2">
        <v>15</v>
      </c>
      <c r="I27" s="32"/>
    </row>
    <row r="28" spans="1:11" ht="12.95" customHeight="1" thickBot="1" x14ac:dyDescent="0.25">
      <c r="A28" s="8" t="s">
        <v>13</v>
      </c>
      <c r="B28" s="10">
        <v>152925.1</v>
      </c>
      <c r="C28" s="2">
        <v>16</v>
      </c>
      <c r="F28" s="13"/>
    </row>
    <row r="29" spans="1:11" ht="12.95" customHeight="1" thickBot="1" x14ac:dyDescent="0.25">
      <c r="A29" s="8" t="s">
        <v>14</v>
      </c>
      <c r="B29" s="10">
        <v>30212.67</v>
      </c>
      <c r="C29" s="2">
        <v>17</v>
      </c>
    </row>
    <row r="30" spans="1:11" ht="12.95" customHeight="1" thickBot="1" x14ac:dyDescent="0.25">
      <c r="A30" s="8" t="s">
        <v>15</v>
      </c>
      <c r="B30" s="10">
        <f>117710.3-3630.97</f>
        <v>114079.33</v>
      </c>
      <c r="C30" s="2">
        <v>18</v>
      </c>
    </row>
    <row r="31" spans="1:11" ht="12.95" customHeight="1" thickBot="1" x14ac:dyDescent="0.25">
      <c r="A31" s="8" t="s">
        <v>16</v>
      </c>
      <c r="B31" s="10">
        <v>12711.86</v>
      </c>
      <c r="C31" s="2">
        <v>19</v>
      </c>
    </row>
    <row r="32" spans="1:11" ht="12.95" customHeight="1" thickBot="1" x14ac:dyDescent="0.25">
      <c r="A32" s="8" t="s">
        <v>17</v>
      </c>
      <c r="B32" s="10">
        <f>54.53</f>
        <v>54.53</v>
      </c>
      <c r="C32" s="2">
        <v>20</v>
      </c>
      <c r="F32" s="59" t="s">
        <v>168</v>
      </c>
      <c r="G32" s="59"/>
      <c r="H32" s="59"/>
      <c r="I32" s="28"/>
    </row>
    <row r="33" spans="1:11" ht="12.95" customHeight="1" thickBot="1" x14ac:dyDescent="0.25">
      <c r="A33" s="8" t="s">
        <v>18</v>
      </c>
      <c r="B33" s="10">
        <f>62893.89+3576.44</f>
        <v>66470.33</v>
      </c>
      <c r="C33" s="2">
        <v>21</v>
      </c>
      <c r="F33" s="12" t="s">
        <v>57</v>
      </c>
      <c r="G33" s="40">
        <v>2785.38</v>
      </c>
      <c r="H33" s="12">
        <v>21</v>
      </c>
      <c r="I33" s="16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791.06</v>
      </c>
      <c r="H34" s="12">
        <v>21</v>
      </c>
      <c r="I34" s="12"/>
    </row>
    <row r="35" spans="1:11" ht="12.95" customHeight="1" thickBot="1" x14ac:dyDescent="0.25">
      <c r="A35" s="8" t="s">
        <v>99</v>
      </c>
      <c r="B35" s="10"/>
      <c r="C35" s="2">
        <v>23</v>
      </c>
      <c r="F35" s="12" t="s">
        <v>59</v>
      </c>
      <c r="G35" s="24"/>
      <c r="H35" s="12">
        <v>20</v>
      </c>
      <c r="I35" s="16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>
        <v>54.53</v>
      </c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322413.05</v>
      </c>
      <c r="F37" s="12"/>
      <c r="G37" s="38">
        <f>SUM(G33:G36)</f>
        <v>3630.9700000000003</v>
      </c>
      <c r="H37" s="12"/>
      <c r="I37" s="38"/>
    </row>
    <row r="38" spans="1:11" ht="12.95" customHeight="1" thickBot="1" x14ac:dyDescent="0.25">
      <c r="A38" s="5" t="s">
        <v>21</v>
      </c>
      <c r="B38" s="11">
        <f>SUM(B39:B40)</f>
        <v>30100.82</v>
      </c>
      <c r="F38" s="12"/>
      <c r="G38" s="12"/>
      <c r="H38" s="12"/>
      <c r="I38" s="12"/>
    </row>
    <row r="39" spans="1:11" ht="12.95" customHeight="1" thickBot="1" x14ac:dyDescent="0.25">
      <c r="A39" s="8" t="s">
        <v>22</v>
      </c>
      <c r="B39" s="10">
        <v>30100.82</v>
      </c>
      <c r="C39" s="2">
        <v>25</v>
      </c>
      <c r="F39" s="23" t="s">
        <v>61</v>
      </c>
      <c r="G39" s="24">
        <v>6710.05</v>
      </c>
      <c r="H39" s="12">
        <v>17</v>
      </c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/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292312.23</v>
      </c>
      <c r="C41" s="2">
        <v>27</v>
      </c>
      <c r="F41" s="23" t="s">
        <v>63</v>
      </c>
      <c r="G41" s="24">
        <v>3393.56</v>
      </c>
      <c r="H41" s="12">
        <v>17</v>
      </c>
      <c r="I41" s="12"/>
      <c r="J41" s="17"/>
    </row>
    <row r="42" spans="1:11" ht="12.95" customHeight="1" thickBot="1" x14ac:dyDescent="0.25">
      <c r="A42" s="5" t="s">
        <v>25</v>
      </c>
      <c r="B42" s="11">
        <f>SUM(B43:B45)</f>
        <v>764951.41</v>
      </c>
      <c r="F42" s="23" t="s">
        <v>64</v>
      </c>
      <c r="G42" s="24">
        <v>1355.51</v>
      </c>
      <c r="H42" s="12">
        <v>17</v>
      </c>
      <c r="I42" s="12"/>
    </row>
    <row r="43" spans="1:11" ht="12.95" customHeight="1" thickBot="1" x14ac:dyDescent="0.25">
      <c r="A43" s="8" t="s">
        <v>26</v>
      </c>
      <c r="B43" s="10">
        <v>734278.54</v>
      </c>
      <c r="C43" s="2">
        <v>28</v>
      </c>
      <c r="F43" s="23" t="s">
        <v>65</v>
      </c>
      <c r="G43" s="24"/>
      <c r="H43" s="12">
        <v>17</v>
      </c>
      <c r="I43" s="12"/>
      <c r="K43" s="17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12"/>
    </row>
    <row r="45" spans="1:11" ht="12.95" customHeight="1" thickBot="1" x14ac:dyDescent="0.25">
      <c r="A45" s="8" t="s">
        <v>28</v>
      </c>
      <c r="B45" s="10">
        <v>30672.87</v>
      </c>
      <c r="C45" s="2">
        <v>30</v>
      </c>
      <c r="F45" s="23" t="s">
        <v>109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0</v>
      </c>
      <c r="F46" s="23" t="s">
        <v>66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/>
      <c r="C47" s="2">
        <v>31</v>
      </c>
      <c r="F47" s="23" t="s">
        <v>67</v>
      </c>
      <c r="G47" s="24"/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18753.55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/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7101.29</v>
      </c>
      <c r="C50" s="2">
        <v>34</v>
      </c>
      <c r="F50" s="23" t="s">
        <v>110</v>
      </c>
      <c r="G50" s="24"/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788.72</v>
      </c>
      <c r="C51" s="2">
        <v>35</v>
      </c>
      <c r="F51" s="13"/>
      <c r="G51" s="37">
        <f>SUM(G39:G50)</f>
        <v>30212.67</v>
      </c>
    </row>
    <row r="52" spans="1:9" ht="12.95" customHeight="1" thickBot="1" x14ac:dyDescent="0.25">
      <c r="A52" s="9" t="s">
        <v>35</v>
      </c>
      <c r="B52" s="10">
        <v>22.77</v>
      </c>
      <c r="C52" s="2">
        <v>36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</row>
    <row r="56" spans="1:9" ht="12.95" customHeight="1" thickBot="1" x14ac:dyDescent="0.25">
      <c r="A56" s="9" t="s">
        <v>39</v>
      </c>
      <c r="B56" s="10">
        <v>1266220.76</v>
      </c>
      <c r="C56" s="2">
        <v>40</v>
      </c>
    </row>
    <row r="57" spans="1:9" ht="12.95" customHeight="1" thickBot="1" x14ac:dyDescent="0.25">
      <c r="A57" s="5" t="s">
        <v>40</v>
      </c>
      <c r="B57" s="11">
        <f>B26+B37+B42+B46+B50+B51+B52+B53+B54+B55+B56</f>
        <v>3055095.64</v>
      </c>
      <c r="F57" s="12"/>
    </row>
    <row r="58" spans="1:9" ht="12.95" customHeight="1" thickBot="1" x14ac:dyDescent="0.25">
      <c r="A58" s="5" t="s">
        <v>41</v>
      </c>
      <c r="B58" s="11">
        <f>B24-B57</f>
        <v>-121939.20000000019</v>
      </c>
    </row>
    <row r="59" spans="1:9" ht="12.95" customHeight="1" thickBot="1" x14ac:dyDescent="0.25">
      <c r="A59" s="5" t="s">
        <v>42</v>
      </c>
      <c r="B59" s="11">
        <f>B8+B24-B57</f>
        <v>13698885.170000007</v>
      </c>
    </row>
    <row r="60" spans="1:9" ht="12.95" customHeight="1" x14ac:dyDescent="0.2">
      <c r="A60" s="6"/>
      <c r="B60" s="17"/>
    </row>
    <row r="61" spans="1:9" ht="12.95" customHeight="1" thickBot="1" x14ac:dyDescent="0.25">
      <c r="A61" s="65" t="s">
        <v>43</v>
      </c>
      <c r="B61" s="65"/>
      <c r="C61" s="65"/>
      <c r="D61" s="65"/>
      <c r="E61" s="65"/>
    </row>
    <row r="62" spans="1:9" ht="12.95" customHeight="1" thickBot="1" x14ac:dyDescent="0.25">
      <c r="A62" s="62"/>
      <c r="B62" s="3" t="str">
        <f>B6</f>
        <v>Julho</v>
      </c>
    </row>
    <row r="63" spans="1:9" ht="12.95" customHeight="1" thickBot="1" x14ac:dyDescent="0.25">
      <c r="A63" s="63"/>
      <c r="B63" s="3" t="s">
        <v>3</v>
      </c>
    </row>
    <row r="64" spans="1:9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750572.7+1475347.52+12367.99+7333686.95</f>
        <v>9571975.1600000001</v>
      </c>
    </row>
    <row r="66" spans="1:7" ht="12.95" customHeight="1" thickBot="1" x14ac:dyDescent="0.25">
      <c r="A66" s="4" t="s">
        <v>46</v>
      </c>
      <c r="B66" s="10">
        <v>536.70000000000005</v>
      </c>
    </row>
    <row r="67" spans="1:7" ht="12.95" customHeight="1" thickBot="1" x14ac:dyDescent="0.25">
      <c r="A67" s="5" t="s">
        <v>47</v>
      </c>
      <c r="B67" s="11">
        <f>SUM(B64:B66)</f>
        <v>9572511.8599999994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5" t="s">
        <v>48</v>
      </c>
      <c r="B69" s="65"/>
      <c r="C69" s="65"/>
      <c r="D69" s="65"/>
      <c r="E69" s="65"/>
    </row>
    <row r="70" spans="1:7" ht="12.95" customHeight="1" thickBot="1" x14ac:dyDescent="0.25">
      <c r="A70" s="62"/>
      <c r="B70" s="3" t="str">
        <f>B62</f>
        <v>Julho</v>
      </c>
      <c r="G70" s="15"/>
    </row>
    <row r="71" spans="1:7" ht="12.95" customHeight="1" thickBot="1" x14ac:dyDescent="0.25">
      <c r="A71" s="63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+B65+B66</f>
        <v>9572511.8599999994</v>
      </c>
      <c r="C73" s="25"/>
    </row>
    <row r="74" spans="1:7" ht="12.95" customHeight="1" thickBot="1" x14ac:dyDescent="0.25">
      <c r="A74" s="5" t="s">
        <v>47</v>
      </c>
      <c r="B74" s="11">
        <f>SUM(B72:B73)</f>
        <v>9572511.8599999994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65" t="s">
        <v>51</v>
      </c>
      <c r="B76" s="65"/>
      <c r="C76" s="65"/>
      <c r="D76" s="65"/>
      <c r="E76" s="65"/>
      <c r="F76" s="50"/>
      <c r="G76" s="17"/>
    </row>
    <row r="77" spans="1:7" ht="12.95" customHeight="1" thickBot="1" x14ac:dyDescent="0.25">
      <c r="A77" s="4"/>
      <c r="B77" s="3" t="s">
        <v>52</v>
      </c>
      <c r="C77" s="64" t="s">
        <v>173</v>
      </c>
      <c r="D77" s="64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Julho</v>
      </c>
      <c r="C78" s="64"/>
      <c r="D78" s="64"/>
      <c r="E78" s="50"/>
      <c r="F78" s="50"/>
    </row>
    <row r="79" spans="1:7" ht="12.95" customHeight="1" x14ac:dyDescent="0.2">
      <c r="A79" s="6"/>
      <c r="C79" s="64"/>
      <c r="D79" s="64"/>
      <c r="E79" s="50"/>
      <c r="F79" s="35"/>
    </row>
    <row r="80" spans="1:7" ht="12.95" customHeight="1" x14ac:dyDescent="0.2">
      <c r="C80" s="64"/>
      <c r="D80" s="64"/>
      <c r="E80" s="35"/>
    </row>
    <row r="81" spans="3:5" ht="12.95" customHeight="1" x14ac:dyDescent="0.2">
      <c r="C81" s="64"/>
      <c r="D81" s="64"/>
      <c r="E81" s="17"/>
    </row>
    <row r="82" spans="3:5" ht="12.95" customHeight="1" x14ac:dyDescent="0.2">
      <c r="D82" s="22"/>
      <c r="E82" s="17"/>
    </row>
    <row r="83" spans="3:5" ht="12.95" customHeight="1" x14ac:dyDescent="0.2">
      <c r="D83" s="17"/>
      <c r="E83" s="17"/>
    </row>
    <row r="84" spans="3:5" ht="12.95" customHeight="1" x14ac:dyDescent="0.2">
      <c r="E84" s="17"/>
    </row>
  </sheetData>
  <sortState xmlns:xlrd2="http://schemas.microsoft.com/office/spreadsheetml/2017/richdata2" ref="F9:H24">
    <sortCondition ref="H9:H24"/>
  </sortState>
  <mergeCells count="14">
    <mergeCell ref="A69:E69"/>
    <mergeCell ref="A70:A71"/>
    <mergeCell ref="A76:E76"/>
    <mergeCell ref="C77:D81"/>
    <mergeCell ref="J13:K13"/>
    <mergeCell ref="F32:H32"/>
    <mergeCell ref="A61:E61"/>
    <mergeCell ref="A62:A63"/>
    <mergeCell ref="J8:K8"/>
    <mergeCell ref="A1:C1"/>
    <mergeCell ref="A2:C2"/>
    <mergeCell ref="A3:B3"/>
    <mergeCell ref="A6:A7"/>
    <mergeCell ref="C6:C7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58131-EAC7-4A58-8F84-03E7CC475371}">
  <sheetPr>
    <pageSetUpPr fitToPage="1"/>
  </sheetPr>
  <dimension ref="A1:L84"/>
  <sheetViews>
    <sheetView showGridLines="0" topLeftCell="A73" zoomScale="110" zoomScaleNormal="11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3.28515625" style="2" bestFit="1" customWidth="1"/>
    <col min="4" max="4" width="29.14062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4.28515625" style="2" customWidth="1"/>
    <col min="10" max="10" width="10.85546875" style="2" bestFit="1" customWidth="1"/>
    <col min="11" max="11" width="23.28515625" style="2" bestFit="1" customWidth="1"/>
    <col min="12" max="12" width="12.140625" style="2" bestFit="1" customWidth="1"/>
    <col min="13" max="13" width="12.5703125" style="2" bestFit="1" customWidth="1"/>
    <col min="14" max="16384" width="9.140625" style="2"/>
  </cols>
  <sheetData>
    <row r="1" spans="1:12" ht="12.95" customHeight="1" x14ac:dyDescent="0.2">
      <c r="A1" s="60" t="s">
        <v>149</v>
      </c>
      <c r="B1" s="60"/>
      <c r="C1" s="60"/>
      <c r="D1" s="6"/>
      <c r="E1" s="6"/>
    </row>
    <row r="2" spans="1:12" ht="12.95" customHeight="1" x14ac:dyDescent="0.2">
      <c r="A2" s="61" t="s">
        <v>0</v>
      </c>
      <c r="B2" s="61"/>
      <c r="C2" s="61"/>
      <c r="D2" s="42"/>
      <c r="E2" s="42"/>
    </row>
    <row r="3" spans="1:12" ht="12.95" customHeight="1" thickBot="1" x14ac:dyDescent="0.25">
      <c r="A3" s="61" t="s">
        <v>174</v>
      </c>
      <c r="B3" s="61"/>
      <c r="C3" s="42"/>
      <c r="D3" s="42"/>
      <c r="E3" s="42"/>
    </row>
    <row r="4" spans="1:12" ht="12.95" customHeight="1" thickBot="1" x14ac:dyDescent="0.25">
      <c r="A4" s="1" t="s">
        <v>1</v>
      </c>
    </row>
    <row r="5" spans="1:12" ht="12.95" customHeight="1" thickBot="1" x14ac:dyDescent="0.25"/>
    <row r="6" spans="1:12" ht="12.95" customHeight="1" thickBot="1" x14ac:dyDescent="0.25">
      <c r="A6" s="62"/>
      <c r="B6" s="3" t="s">
        <v>123</v>
      </c>
      <c r="C6" s="66" t="s">
        <v>54</v>
      </c>
    </row>
    <row r="7" spans="1:12" ht="12.95" customHeight="1" thickBot="1" x14ac:dyDescent="0.25">
      <c r="A7" s="63"/>
      <c r="B7" s="3" t="s">
        <v>3</v>
      </c>
      <c r="C7" s="66"/>
    </row>
    <row r="8" spans="1:12" ht="12.95" customHeight="1" thickBot="1" x14ac:dyDescent="0.25">
      <c r="A8" s="4" t="s">
        <v>4</v>
      </c>
      <c r="B8" s="11">
        <f>Jul!B59</f>
        <v>13698885.170000007</v>
      </c>
      <c r="F8" s="18" t="s">
        <v>107</v>
      </c>
      <c r="G8" s="21" t="s">
        <v>179</v>
      </c>
      <c r="H8" s="21" t="s">
        <v>54</v>
      </c>
      <c r="I8" s="52"/>
      <c r="J8" s="31"/>
      <c r="K8" s="58" t="s">
        <v>101</v>
      </c>
      <c r="L8" s="58"/>
    </row>
    <row r="9" spans="1:12" ht="12.95" customHeight="1" thickBot="1" x14ac:dyDescent="0.25">
      <c r="A9" s="7" t="s">
        <v>5</v>
      </c>
      <c r="B9" s="14"/>
      <c r="F9" s="23" t="s">
        <v>130</v>
      </c>
      <c r="G9" s="16">
        <v>3496430.99</v>
      </c>
      <c r="H9" s="44">
        <v>1</v>
      </c>
      <c r="I9" s="44"/>
      <c r="J9" s="33"/>
      <c r="K9" s="18" t="s">
        <v>70</v>
      </c>
      <c r="L9" s="26" t="s">
        <v>176</v>
      </c>
    </row>
    <row r="10" spans="1:12" ht="12.95" customHeight="1" thickBot="1" x14ac:dyDescent="0.25">
      <c r="A10" s="4" t="s">
        <v>6</v>
      </c>
      <c r="B10" s="10">
        <v>3496430.99</v>
      </c>
      <c r="C10" s="2">
        <v>1</v>
      </c>
      <c r="F10" s="23" t="s">
        <v>72</v>
      </c>
      <c r="G10" s="16">
        <v>109851.83999999998</v>
      </c>
      <c r="H10" s="44">
        <v>7</v>
      </c>
      <c r="I10" s="44"/>
      <c r="J10" s="33"/>
      <c r="K10" s="18" t="s">
        <v>116</v>
      </c>
      <c r="L10" s="26" t="s">
        <v>177</v>
      </c>
    </row>
    <row r="11" spans="1:12" ht="12.95" customHeight="1" thickBot="1" x14ac:dyDescent="0.25">
      <c r="A11" s="4" t="s">
        <v>88</v>
      </c>
      <c r="B11" s="10"/>
      <c r="C11" s="2">
        <v>2</v>
      </c>
      <c r="F11" s="23" t="s">
        <v>73</v>
      </c>
      <c r="G11" s="16">
        <v>-347346.81</v>
      </c>
      <c r="H11" s="44">
        <v>15</v>
      </c>
      <c r="I11" s="44"/>
      <c r="J11" s="33"/>
      <c r="K11" s="18" t="s">
        <v>71</v>
      </c>
      <c r="L11" s="26" t="s">
        <v>178</v>
      </c>
    </row>
    <row r="12" spans="1:12" ht="12.95" customHeight="1" thickBot="1" x14ac:dyDescent="0.25">
      <c r="A12" s="4" t="s">
        <v>89</v>
      </c>
      <c r="B12" s="10"/>
      <c r="C12" s="2">
        <v>3</v>
      </c>
      <c r="F12" s="23" t="s">
        <v>74</v>
      </c>
      <c r="G12" s="16">
        <v>-147498.74000000002</v>
      </c>
      <c r="H12" s="44">
        <v>16</v>
      </c>
      <c r="I12" s="44"/>
      <c r="J12" s="33"/>
      <c r="K12" s="29"/>
      <c r="L12" s="29"/>
    </row>
    <row r="13" spans="1:12" ht="12.95" customHeight="1" thickBot="1" x14ac:dyDescent="0.25">
      <c r="A13" s="4" t="s">
        <v>90</v>
      </c>
      <c r="B13" s="10"/>
      <c r="C13" s="2">
        <v>4</v>
      </c>
      <c r="F13" s="23" t="s">
        <v>75</v>
      </c>
      <c r="G13" s="16">
        <v>-127316.48</v>
      </c>
      <c r="H13" s="44">
        <v>18</v>
      </c>
      <c r="I13" s="44"/>
      <c r="J13" s="33"/>
      <c r="K13" s="58" t="s">
        <v>102</v>
      </c>
      <c r="L13" s="58"/>
    </row>
    <row r="14" spans="1:12" ht="12.95" customHeight="1" thickBot="1" x14ac:dyDescent="0.25">
      <c r="A14" s="4" t="s">
        <v>91</v>
      </c>
      <c r="B14" s="10"/>
      <c r="C14" s="2">
        <v>5</v>
      </c>
      <c r="F14" s="23" t="s">
        <v>86</v>
      </c>
      <c r="G14" s="16">
        <v>-8772.11</v>
      </c>
      <c r="H14" s="44">
        <v>19</v>
      </c>
      <c r="I14" s="44"/>
      <c r="J14" s="33"/>
      <c r="K14" s="18" t="s">
        <v>114</v>
      </c>
      <c r="L14" s="26">
        <v>1288698.58</v>
      </c>
    </row>
    <row r="15" spans="1:12" ht="12.95" customHeight="1" thickBot="1" x14ac:dyDescent="0.25">
      <c r="A15" s="4" t="s">
        <v>92</v>
      </c>
      <c r="B15" s="10"/>
      <c r="C15" s="2">
        <v>6</v>
      </c>
      <c r="F15" s="23" t="s">
        <v>77</v>
      </c>
      <c r="G15" s="16">
        <v>-39137.07</v>
      </c>
      <c r="H15" s="44">
        <v>21</v>
      </c>
      <c r="I15" s="44"/>
      <c r="J15" s="33"/>
      <c r="K15" s="18" t="s">
        <v>145</v>
      </c>
      <c r="L15" s="26">
        <f>1475347.52+28527.66+7550023.73</f>
        <v>9053898.9100000001</v>
      </c>
    </row>
    <row r="16" spans="1:12" ht="12.95" customHeight="1" thickBot="1" x14ac:dyDescent="0.25">
      <c r="A16" s="4" t="s">
        <v>7</v>
      </c>
      <c r="B16" s="10">
        <v>109851.84</v>
      </c>
      <c r="C16" s="2">
        <v>7</v>
      </c>
      <c r="F16" s="23" t="s">
        <v>78</v>
      </c>
      <c r="G16" s="16">
        <v>-31882.43</v>
      </c>
      <c r="H16" s="44">
        <v>25</v>
      </c>
      <c r="I16" s="44"/>
      <c r="J16" s="33"/>
      <c r="K16" s="18" t="s">
        <v>106</v>
      </c>
      <c r="L16" s="26">
        <v>433.82</v>
      </c>
    </row>
    <row r="17" spans="1:12" ht="12.95" customHeight="1" thickBot="1" x14ac:dyDescent="0.25">
      <c r="A17" s="4" t="s">
        <v>93</v>
      </c>
      <c r="B17" s="10"/>
      <c r="C17" s="2">
        <v>8</v>
      </c>
      <c r="F17" s="23" t="s">
        <v>79</v>
      </c>
      <c r="G17" s="16">
        <v>-359217.33</v>
      </c>
      <c r="H17" s="44">
        <v>27</v>
      </c>
      <c r="I17" s="44"/>
      <c r="J17" s="33"/>
      <c r="K17" s="30"/>
      <c r="L17" s="26">
        <f>SUM(L14:L16)</f>
        <v>10343031.310000001</v>
      </c>
    </row>
    <row r="18" spans="1:12" ht="12.95" customHeight="1" thickBot="1" x14ac:dyDescent="0.25">
      <c r="A18" s="4" t="s">
        <v>94</v>
      </c>
      <c r="B18" s="10"/>
      <c r="C18" s="2">
        <v>9</v>
      </c>
      <c r="F18" s="23" t="s">
        <v>80</v>
      </c>
      <c r="G18" s="16">
        <v>-350017.91000000009</v>
      </c>
      <c r="H18" s="44">
        <v>28</v>
      </c>
      <c r="I18" s="44"/>
      <c r="J18" s="33"/>
    </row>
    <row r="19" spans="1:12" ht="12.95" customHeight="1" thickBot="1" x14ac:dyDescent="0.25">
      <c r="A19" s="4" t="s">
        <v>95</v>
      </c>
      <c r="B19" s="10"/>
      <c r="C19" s="2">
        <v>10</v>
      </c>
      <c r="F19" s="23" t="s">
        <v>81</v>
      </c>
      <c r="G19" s="16">
        <v>-34668.81</v>
      </c>
      <c r="H19" s="44">
        <v>30</v>
      </c>
      <c r="I19" s="44"/>
      <c r="J19" s="33"/>
    </row>
    <row r="20" spans="1:12" ht="12.95" customHeight="1" thickBot="1" x14ac:dyDescent="0.25">
      <c r="A20" s="4" t="s">
        <v>8</v>
      </c>
      <c r="B20" s="10"/>
      <c r="C20" s="2">
        <v>11</v>
      </c>
      <c r="F20" s="23" t="s">
        <v>82</v>
      </c>
      <c r="G20" s="16">
        <v>-7699.82</v>
      </c>
      <c r="H20" s="44">
        <v>34</v>
      </c>
      <c r="I20" s="44"/>
      <c r="J20" s="33"/>
    </row>
    <row r="21" spans="1:12" ht="12.95" customHeight="1" thickBot="1" x14ac:dyDescent="0.25">
      <c r="A21" s="4" t="s">
        <v>96</v>
      </c>
      <c r="B21" s="10"/>
      <c r="C21" s="2">
        <v>12</v>
      </c>
      <c r="F21" s="23" t="s">
        <v>83</v>
      </c>
      <c r="G21" s="16">
        <v>-908.72</v>
      </c>
      <c r="H21" s="44">
        <v>35</v>
      </c>
      <c r="I21" s="44"/>
      <c r="J21" s="33"/>
    </row>
    <row r="22" spans="1:12" ht="12.95" customHeight="1" thickBot="1" x14ac:dyDescent="0.25">
      <c r="A22" s="4" t="s">
        <v>97</v>
      </c>
      <c r="B22" s="10"/>
      <c r="C22" s="2">
        <v>13</v>
      </c>
      <c r="F22" s="23" t="s">
        <v>84</v>
      </c>
      <c r="G22" s="16">
        <v>-20.789999999999996</v>
      </c>
      <c r="H22" s="44">
        <v>36</v>
      </c>
      <c r="I22" s="44"/>
      <c r="J22" s="33"/>
    </row>
    <row r="23" spans="1:12" ht="12.95" customHeight="1" thickBot="1" x14ac:dyDescent="0.25">
      <c r="A23" s="4" t="s">
        <v>98</v>
      </c>
      <c r="B23" s="10"/>
      <c r="C23" s="2">
        <v>14</v>
      </c>
      <c r="F23" s="23" t="s">
        <v>85</v>
      </c>
      <c r="G23" s="16">
        <v>-1381276.36</v>
      </c>
      <c r="H23" s="44">
        <v>40</v>
      </c>
      <c r="I23" s="44"/>
      <c r="J23" s="33"/>
    </row>
    <row r="24" spans="1:12" ht="12.95" customHeight="1" thickBot="1" x14ac:dyDescent="0.25">
      <c r="A24" s="5" t="s">
        <v>9</v>
      </c>
      <c r="B24" s="11">
        <f>SUM(B10:B23)</f>
        <v>3606282.83</v>
      </c>
      <c r="F24" s="19" t="s">
        <v>56</v>
      </c>
      <c r="G24" s="20">
        <f>SUBTOTAL(9,G9:G23)</f>
        <v>770519.44999999949</v>
      </c>
      <c r="H24" s="20"/>
      <c r="I24" s="53"/>
      <c r="J24" s="34"/>
    </row>
    <row r="25" spans="1:12" ht="12.95" customHeight="1" thickBot="1" x14ac:dyDescent="0.25">
      <c r="A25" s="7" t="s">
        <v>10</v>
      </c>
      <c r="B25" s="14"/>
      <c r="J25" s="33"/>
    </row>
    <row r="26" spans="1:12" ht="12.95" customHeight="1" thickBot="1" x14ac:dyDescent="0.25">
      <c r="A26" s="5" t="s">
        <v>11</v>
      </c>
      <c r="B26" s="11">
        <f>SUM(B27:B36)</f>
        <v>670071.21</v>
      </c>
      <c r="F26" s="23"/>
      <c r="G26" s="16"/>
      <c r="H26" s="12"/>
      <c r="I26" s="12"/>
      <c r="J26" s="33"/>
    </row>
    <row r="27" spans="1:12" ht="12.95" customHeight="1" thickBot="1" x14ac:dyDescent="0.25">
      <c r="A27" s="8" t="s">
        <v>12</v>
      </c>
      <c r="B27" s="10">
        <f>347346.81-B29</f>
        <v>320016.15999999997</v>
      </c>
      <c r="C27" s="2">
        <v>15</v>
      </c>
      <c r="J27" s="32"/>
    </row>
    <row r="28" spans="1:12" ht="12.95" customHeight="1" thickBot="1" x14ac:dyDescent="0.25">
      <c r="A28" s="8" t="s">
        <v>13</v>
      </c>
      <c r="B28" s="10">
        <f>147498.74</f>
        <v>147498.74</v>
      </c>
      <c r="C28" s="2">
        <v>16</v>
      </c>
      <c r="F28" s="13"/>
    </row>
    <row r="29" spans="1:12" ht="12.95" customHeight="1" thickBot="1" x14ac:dyDescent="0.25">
      <c r="A29" s="8" t="s">
        <v>14</v>
      </c>
      <c r="B29" s="10">
        <v>27330.649999999998</v>
      </c>
      <c r="C29" s="2">
        <v>17</v>
      </c>
    </row>
    <row r="30" spans="1:12" ht="12.95" customHeight="1" thickBot="1" x14ac:dyDescent="0.25">
      <c r="A30" s="8" t="s">
        <v>15</v>
      </c>
      <c r="B30" s="10">
        <f>-11150.1+127316.48</f>
        <v>116166.37999999999</v>
      </c>
      <c r="C30" s="2">
        <v>18</v>
      </c>
    </row>
    <row r="31" spans="1:12" ht="12.95" customHeight="1" thickBot="1" x14ac:dyDescent="0.25">
      <c r="A31" s="8" t="s">
        <v>16</v>
      </c>
      <c r="B31" s="10">
        <f>8772.11</f>
        <v>8772.11</v>
      </c>
      <c r="C31" s="2">
        <v>19</v>
      </c>
    </row>
    <row r="32" spans="1:12" ht="12.95" customHeight="1" thickBot="1" x14ac:dyDescent="0.25">
      <c r="A32" s="8" t="s">
        <v>17</v>
      </c>
      <c r="B32" s="10">
        <f>223.27</f>
        <v>223.27</v>
      </c>
      <c r="C32" s="2">
        <v>20</v>
      </c>
      <c r="F32" s="59" t="s">
        <v>175</v>
      </c>
      <c r="G32" s="59"/>
      <c r="H32" s="59"/>
      <c r="I32" s="51"/>
      <c r="J32" s="28"/>
    </row>
    <row r="33" spans="1:12" ht="12.95" customHeight="1" thickBot="1" x14ac:dyDescent="0.25">
      <c r="A33" s="8" t="s">
        <v>18</v>
      </c>
      <c r="B33" s="10">
        <f>10926.83+39137.07</f>
        <v>50063.9</v>
      </c>
      <c r="C33" s="2">
        <v>21</v>
      </c>
      <c r="F33" s="12" t="s">
        <v>57</v>
      </c>
      <c r="G33" s="40">
        <v>6039.23</v>
      </c>
      <c r="H33" s="12">
        <v>21</v>
      </c>
      <c r="I33" s="12"/>
      <c r="J33" s="16"/>
    </row>
    <row r="34" spans="1:12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4887.6000000000004</v>
      </c>
      <c r="H34" s="12">
        <v>21</v>
      </c>
      <c r="I34" s="12"/>
      <c r="J34" s="12"/>
    </row>
    <row r="35" spans="1:12" ht="12.95" customHeight="1" thickBot="1" x14ac:dyDescent="0.25">
      <c r="A35" s="8" t="s">
        <v>99</v>
      </c>
      <c r="B35" s="10"/>
      <c r="C35" s="2">
        <v>23</v>
      </c>
      <c r="F35" s="12" t="s">
        <v>59</v>
      </c>
      <c r="G35" s="24"/>
      <c r="H35" s="12">
        <v>20</v>
      </c>
      <c r="I35" s="12"/>
      <c r="J35" s="16"/>
    </row>
    <row r="36" spans="1:12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>
        <v>223.27</v>
      </c>
      <c r="H36" s="12">
        <v>20</v>
      </c>
      <c r="I36" s="12"/>
      <c r="J36" s="16"/>
    </row>
    <row r="37" spans="1:12" ht="12.95" customHeight="1" thickBot="1" x14ac:dyDescent="0.25">
      <c r="A37" s="5" t="s">
        <v>20</v>
      </c>
      <c r="B37" s="11">
        <f>B38+B41</f>
        <v>391099.76</v>
      </c>
      <c r="F37" s="12"/>
      <c r="G37" s="38">
        <f>SUM(G33:G36)</f>
        <v>11150.1</v>
      </c>
      <c r="H37" s="12"/>
      <c r="I37" s="12"/>
      <c r="J37" s="38"/>
    </row>
    <row r="38" spans="1:12" ht="12.95" customHeight="1" thickBot="1" x14ac:dyDescent="0.25">
      <c r="A38" s="5" t="s">
        <v>21</v>
      </c>
      <c r="B38" s="11">
        <f>SUM(B39:B40)</f>
        <v>31882.43</v>
      </c>
      <c r="F38" s="12"/>
      <c r="G38" s="12"/>
      <c r="H38" s="12"/>
      <c r="I38" s="12"/>
      <c r="J38" s="12"/>
    </row>
    <row r="39" spans="1:12" ht="12.95" customHeight="1" thickBot="1" x14ac:dyDescent="0.25">
      <c r="A39" s="8" t="s">
        <v>22</v>
      </c>
      <c r="B39" s="10">
        <f>31882.43</f>
        <v>31882.43</v>
      </c>
      <c r="C39" s="2">
        <v>25</v>
      </c>
      <c r="F39" s="23" t="s">
        <v>61</v>
      </c>
      <c r="G39" s="24">
        <v>4802.4399999999996</v>
      </c>
      <c r="H39" s="12">
        <v>17</v>
      </c>
      <c r="I39" s="12"/>
      <c r="J39" s="12"/>
    </row>
    <row r="40" spans="1:12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/>
      <c r="H40" s="12">
        <v>17</v>
      </c>
      <c r="I40" s="12"/>
      <c r="J40" s="12"/>
    </row>
    <row r="41" spans="1:12" ht="12.95" customHeight="1" thickBot="1" x14ac:dyDescent="0.25">
      <c r="A41" s="9" t="s">
        <v>24</v>
      </c>
      <c r="B41" s="10">
        <f>359217.33</f>
        <v>359217.33</v>
      </c>
      <c r="C41" s="2">
        <v>27</v>
      </c>
      <c r="F41" s="23" t="s">
        <v>63</v>
      </c>
      <c r="G41" s="24">
        <v>2134.88</v>
      </c>
      <c r="H41" s="12">
        <v>17</v>
      </c>
      <c r="I41" s="12"/>
      <c r="J41" s="12"/>
      <c r="K41" s="17"/>
    </row>
    <row r="42" spans="1:12" ht="12.95" customHeight="1" thickBot="1" x14ac:dyDescent="0.25">
      <c r="A42" s="5" t="s">
        <v>25</v>
      </c>
      <c r="B42" s="11">
        <f>SUM(B43:B45)</f>
        <v>384686.72</v>
      </c>
      <c r="F42" s="23" t="s">
        <v>64</v>
      </c>
      <c r="G42" s="24">
        <v>974.04</v>
      </c>
      <c r="H42" s="12">
        <v>17</v>
      </c>
      <c r="I42" s="12"/>
      <c r="J42" s="12"/>
    </row>
    <row r="43" spans="1:12" ht="12.95" customHeight="1" thickBot="1" x14ac:dyDescent="0.25">
      <c r="A43" s="8" t="s">
        <v>26</v>
      </c>
      <c r="B43" s="10">
        <f>350017.91</f>
        <v>350017.91</v>
      </c>
      <c r="C43" s="2">
        <v>28</v>
      </c>
      <c r="F43" s="23" t="s">
        <v>65</v>
      </c>
      <c r="G43" s="24"/>
      <c r="H43" s="12">
        <v>17</v>
      </c>
      <c r="I43" s="12"/>
      <c r="J43" s="12"/>
      <c r="L43" s="17"/>
    </row>
    <row r="44" spans="1:12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12"/>
      <c r="J44" s="12"/>
    </row>
    <row r="45" spans="1:12" ht="12.95" customHeight="1" thickBot="1" x14ac:dyDescent="0.25">
      <c r="A45" s="8" t="s">
        <v>28</v>
      </c>
      <c r="B45" s="10">
        <v>34668.81</v>
      </c>
      <c r="C45" s="2">
        <v>30</v>
      </c>
      <c r="F45" s="23" t="s">
        <v>109</v>
      </c>
      <c r="G45" s="24"/>
      <c r="H45" s="12">
        <v>17</v>
      </c>
      <c r="I45" s="12"/>
      <c r="J45" s="12"/>
    </row>
    <row r="46" spans="1:12" ht="12.95" customHeight="1" thickBot="1" x14ac:dyDescent="0.25">
      <c r="A46" s="5" t="s">
        <v>29</v>
      </c>
      <c r="B46" s="11">
        <f>SUM(B47:B49)</f>
        <v>0</v>
      </c>
      <c r="F46" s="23" t="s">
        <v>66</v>
      </c>
      <c r="G46" s="24"/>
      <c r="H46" s="12">
        <v>17</v>
      </c>
      <c r="I46" s="12"/>
      <c r="J46" s="12"/>
    </row>
    <row r="47" spans="1:12" ht="12.95" customHeight="1" thickBot="1" x14ac:dyDescent="0.25">
      <c r="A47" s="8" t="s">
        <v>30</v>
      </c>
      <c r="B47" s="10"/>
      <c r="C47" s="2">
        <v>31</v>
      </c>
      <c r="F47" s="23" t="s">
        <v>67</v>
      </c>
      <c r="G47" s="24"/>
      <c r="H47" s="12">
        <v>17</v>
      </c>
      <c r="I47" s="12"/>
      <c r="J47" s="12"/>
    </row>
    <row r="48" spans="1:12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18053.189999999999</v>
      </c>
      <c r="H48" s="12">
        <v>17</v>
      </c>
      <c r="I48" s="12"/>
      <c r="J48" s="12"/>
    </row>
    <row r="49" spans="1:10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>
        <v>1366.1</v>
      </c>
      <c r="H49" s="12">
        <v>17</v>
      </c>
      <c r="I49" s="12"/>
      <c r="J49" s="12"/>
    </row>
    <row r="50" spans="1:10" ht="12.95" customHeight="1" thickBot="1" x14ac:dyDescent="0.25">
      <c r="A50" s="9" t="s">
        <v>33</v>
      </c>
      <c r="B50" s="10">
        <v>7699.82</v>
      </c>
      <c r="C50" s="2">
        <v>34</v>
      </c>
      <c r="F50" s="23" t="s">
        <v>110</v>
      </c>
      <c r="G50" s="24"/>
      <c r="H50" s="12">
        <v>17</v>
      </c>
      <c r="I50" s="12"/>
      <c r="J50" s="12"/>
    </row>
    <row r="51" spans="1:10" ht="12.95" customHeight="1" thickBot="1" x14ac:dyDescent="0.25">
      <c r="A51" s="9" t="s">
        <v>34</v>
      </c>
      <c r="B51" s="10">
        <f>908.72</f>
        <v>908.72</v>
      </c>
      <c r="C51" s="2">
        <v>35</v>
      </c>
      <c r="F51" s="13"/>
      <c r="G51" s="37">
        <f>SUM(G39:G50)</f>
        <v>27330.649999999998</v>
      </c>
    </row>
    <row r="52" spans="1:10" ht="12.95" customHeight="1" thickBot="1" x14ac:dyDescent="0.25">
      <c r="A52" s="9" t="s">
        <v>35</v>
      </c>
      <c r="B52" s="10">
        <v>20.79</v>
      </c>
      <c r="C52" s="2">
        <v>36</v>
      </c>
    </row>
    <row r="53" spans="1:10" ht="12.95" customHeight="1" thickBot="1" x14ac:dyDescent="0.25">
      <c r="A53" s="9" t="s">
        <v>36</v>
      </c>
      <c r="B53" s="10"/>
      <c r="C53" s="2">
        <v>37</v>
      </c>
    </row>
    <row r="54" spans="1:10" ht="12.95" customHeight="1" thickBot="1" x14ac:dyDescent="0.25">
      <c r="A54" s="9" t="s">
        <v>37</v>
      </c>
      <c r="B54" s="10"/>
      <c r="C54" s="2">
        <v>38</v>
      </c>
    </row>
    <row r="55" spans="1:10" ht="12.95" customHeight="1" thickBot="1" x14ac:dyDescent="0.25">
      <c r="A55" s="9" t="s">
        <v>38</v>
      </c>
      <c r="B55" s="10"/>
      <c r="C55" s="2">
        <v>39</v>
      </c>
    </row>
    <row r="56" spans="1:10" ht="12.95" customHeight="1" thickBot="1" x14ac:dyDescent="0.25">
      <c r="A56" s="9" t="s">
        <v>39</v>
      </c>
      <c r="B56" s="10">
        <v>1381276.36</v>
      </c>
      <c r="C56" s="2">
        <v>40</v>
      </c>
    </row>
    <row r="57" spans="1:10" ht="12.95" customHeight="1" thickBot="1" x14ac:dyDescent="0.25">
      <c r="A57" s="5" t="s">
        <v>40</v>
      </c>
      <c r="B57" s="11">
        <f>B26+B37+B42+B46+B50+B51+B52+B53+B54+B55+B56</f>
        <v>2835763.38</v>
      </c>
      <c r="F57" s="12"/>
    </row>
    <row r="58" spans="1:10" ht="12.95" customHeight="1" thickBot="1" x14ac:dyDescent="0.25">
      <c r="A58" s="5" t="s">
        <v>41</v>
      </c>
      <c r="B58" s="11">
        <f>B24-B57</f>
        <v>770519.45000000019</v>
      </c>
    </row>
    <row r="59" spans="1:10" ht="12.95" customHeight="1" thickBot="1" x14ac:dyDescent="0.25">
      <c r="A59" s="5" t="s">
        <v>42</v>
      </c>
      <c r="B59" s="11">
        <f>B8+B24-B57</f>
        <v>14469404.620000008</v>
      </c>
    </row>
    <row r="60" spans="1:10" ht="12.95" customHeight="1" x14ac:dyDescent="0.2">
      <c r="A60" s="6"/>
      <c r="B60" s="17"/>
    </row>
    <row r="61" spans="1:10" ht="12.95" customHeight="1" thickBot="1" x14ac:dyDescent="0.25">
      <c r="A61" s="65" t="s">
        <v>43</v>
      </c>
      <c r="B61" s="65"/>
      <c r="C61" s="65"/>
      <c r="D61" s="65"/>
      <c r="E61" s="65"/>
    </row>
    <row r="62" spans="1:10" ht="12.95" customHeight="1" thickBot="1" x14ac:dyDescent="0.25">
      <c r="A62" s="62"/>
      <c r="B62" s="3" t="str">
        <f>B6</f>
        <v>Agosto</v>
      </c>
    </row>
    <row r="63" spans="1:10" ht="12.95" customHeight="1" thickBot="1" x14ac:dyDescent="0.25">
      <c r="A63" s="63"/>
      <c r="B63" s="3" t="s">
        <v>3</v>
      </c>
    </row>
    <row r="64" spans="1:10" ht="12.95" customHeight="1" thickBot="1" x14ac:dyDescent="0.25">
      <c r="A64" s="4" t="s">
        <v>44</v>
      </c>
      <c r="B64" s="10"/>
    </row>
    <row r="65" spans="1:7" ht="12.95" customHeight="1" thickBot="1" x14ac:dyDescent="0.25">
      <c r="A65" s="4" t="s">
        <v>45</v>
      </c>
      <c r="B65" s="10">
        <f>10342597.49</f>
        <v>10342597.49</v>
      </c>
    </row>
    <row r="66" spans="1:7" ht="12.95" customHeight="1" thickBot="1" x14ac:dyDescent="0.25">
      <c r="A66" s="4" t="s">
        <v>46</v>
      </c>
      <c r="B66" s="10">
        <v>433.82</v>
      </c>
    </row>
    <row r="67" spans="1:7" ht="12.95" customHeight="1" thickBot="1" x14ac:dyDescent="0.25">
      <c r="A67" s="5" t="s">
        <v>47</v>
      </c>
      <c r="B67" s="11">
        <f>SUM(B64:B66)</f>
        <v>10343031.310000001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65" t="s">
        <v>48</v>
      </c>
      <c r="B69" s="65"/>
      <c r="C69" s="65"/>
      <c r="D69" s="65"/>
      <c r="E69" s="65"/>
    </row>
    <row r="70" spans="1:7" ht="12.95" customHeight="1" thickBot="1" x14ac:dyDescent="0.25">
      <c r="A70" s="62"/>
      <c r="B70" s="3" t="str">
        <f>B62</f>
        <v>Agosto</v>
      </c>
      <c r="G70" s="15"/>
    </row>
    <row r="71" spans="1:7" ht="12.95" customHeight="1" thickBot="1" x14ac:dyDescent="0.25">
      <c r="A71" s="63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+B67</f>
        <v>10343031.310000001</v>
      </c>
      <c r="C73" s="25"/>
    </row>
    <row r="74" spans="1:7" ht="12.95" customHeight="1" thickBot="1" x14ac:dyDescent="0.25">
      <c r="A74" s="5" t="s">
        <v>47</v>
      </c>
      <c r="B74" s="11">
        <f>SUM(B72:B73)</f>
        <v>10343031.310000001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65" t="s">
        <v>51</v>
      </c>
      <c r="B76" s="65"/>
      <c r="C76" s="65"/>
      <c r="D76" s="65"/>
      <c r="E76" s="65"/>
      <c r="F76" s="50"/>
      <c r="G76" s="17"/>
    </row>
    <row r="77" spans="1:7" ht="12.95" customHeight="1" thickBot="1" x14ac:dyDescent="0.25">
      <c r="A77" s="4"/>
      <c r="B77" s="3" t="s">
        <v>52</v>
      </c>
      <c r="C77" s="64" t="s">
        <v>180</v>
      </c>
      <c r="D77" s="64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Agosto</v>
      </c>
      <c r="C78" s="64"/>
      <c r="D78" s="64"/>
      <c r="E78" s="50"/>
      <c r="F78" s="50"/>
    </row>
    <row r="79" spans="1:7" ht="12.95" customHeight="1" x14ac:dyDescent="0.2">
      <c r="A79" s="6"/>
      <c r="C79" s="64"/>
      <c r="D79" s="64"/>
      <c r="E79" s="50"/>
      <c r="F79" s="35"/>
    </row>
    <row r="80" spans="1:7" ht="12.95" customHeight="1" x14ac:dyDescent="0.2">
      <c r="C80" s="64"/>
      <c r="D80" s="64"/>
      <c r="E80" s="35"/>
    </row>
    <row r="81" spans="3:5" ht="12.95" customHeight="1" x14ac:dyDescent="0.2">
      <c r="C81" s="35"/>
      <c r="D81" s="35"/>
      <c r="E81" s="17"/>
    </row>
    <row r="82" spans="3:5" ht="12.95" customHeight="1" x14ac:dyDescent="0.2">
      <c r="C82" s="35"/>
      <c r="D82" s="35"/>
      <c r="E82" s="17"/>
    </row>
    <row r="83" spans="3:5" ht="12.95" customHeight="1" x14ac:dyDescent="0.2">
      <c r="D83" s="17"/>
      <c r="E83" s="17"/>
    </row>
    <row r="84" spans="3:5" ht="12.95" customHeight="1" x14ac:dyDescent="0.2">
      <c r="E84" s="17"/>
    </row>
  </sheetData>
  <mergeCells count="14">
    <mergeCell ref="K8:L8"/>
    <mergeCell ref="A1:C1"/>
    <mergeCell ref="A2:C2"/>
    <mergeCell ref="A3:B3"/>
    <mergeCell ref="A6:A7"/>
    <mergeCell ref="C6:C7"/>
    <mergeCell ref="A76:E76"/>
    <mergeCell ref="C77:D80"/>
    <mergeCell ref="K13:L13"/>
    <mergeCell ref="F32:H32"/>
    <mergeCell ref="A61:E61"/>
    <mergeCell ref="A62:A63"/>
    <mergeCell ref="A69:E69"/>
    <mergeCell ref="A70:A71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3384E-18BB-491E-B4B0-F5C760E4BC22}">
  <sheetPr>
    <pageSetUpPr fitToPage="1"/>
  </sheetPr>
  <dimension ref="A1:K84"/>
  <sheetViews>
    <sheetView showGridLines="0" topLeftCell="A64" zoomScaleNormal="100" workbookViewId="0">
      <selection activeCell="C77" sqref="C77:F79"/>
    </sheetView>
  </sheetViews>
  <sheetFormatPr defaultRowHeight="12.95" customHeight="1" x14ac:dyDescent="0.2"/>
  <cols>
    <col min="1" max="1" width="41.5703125" style="2" bestFit="1" customWidth="1"/>
    <col min="2" max="2" width="15.85546875" style="2" customWidth="1"/>
    <col min="3" max="3" width="3.28515625" style="2" bestFit="1" customWidth="1"/>
    <col min="4" max="4" width="29.140625" style="2" customWidth="1"/>
    <col min="5" max="5" width="5.28515625" style="2" customWidth="1"/>
    <col min="6" max="6" width="27" style="2" bestFit="1" customWidth="1"/>
    <col min="7" max="7" width="10.85546875" style="2" bestFit="1" customWidth="1"/>
    <col min="8" max="8" width="4.28515625" style="2" bestFit="1" customWidth="1"/>
    <col min="9" max="9" width="10.85546875" style="2" bestFit="1" customWidth="1"/>
    <col min="10" max="10" width="23.28515625" style="2" bestFit="1" customWidth="1"/>
    <col min="11" max="11" width="12.140625" style="2" bestFit="1" customWidth="1"/>
    <col min="12" max="12" width="12.5703125" style="2" bestFit="1" customWidth="1"/>
    <col min="13" max="16384" width="9.140625" style="2"/>
  </cols>
  <sheetData>
    <row r="1" spans="1:11" ht="12.95" customHeight="1" x14ac:dyDescent="0.2">
      <c r="A1" s="60" t="s">
        <v>149</v>
      </c>
      <c r="B1" s="60"/>
      <c r="C1" s="60"/>
      <c r="D1" s="6"/>
      <c r="E1" s="6"/>
    </row>
    <row r="2" spans="1:11" ht="12.95" customHeight="1" x14ac:dyDescent="0.2">
      <c r="A2" s="61" t="s">
        <v>0</v>
      </c>
      <c r="B2" s="61"/>
      <c r="C2" s="61"/>
      <c r="D2" s="42"/>
      <c r="E2" s="42"/>
    </row>
    <row r="3" spans="1:11" ht="12.95" customHeight="1" thickBot="1" x14ac:dyDescent="0.25">
      <c r="A3" s="61" t="s">
        <v>181</v>
      </c>
      <c r="B3" s="61"/>
      <c r="C3" s="42"/>
      <c r="D3" s="42"/>
      <c r="E3" s="42"/>
    </row>
    <row r="4" spans="1:11" ht="12.95" customHeight="1" thickBot="1" x14ac:dyDescent="0.25">
      <c r="A4" s="1" t="s">
        <v>1</v>
      </c>
    </row>
    <row r="5" spans="1:11" ht="12.95" customHeight="1" thickBot="1" x14ac:dyDescent="0.25"/>
    <row r="6" spans="1:11" ht="12.95" customHeight="1" thickBot="1" x14ac:dyDescent="0.25">
      <c r="A6" s="62"/>
      <c r="B6" s="3" t="s">
        <v>124</v>
      </c>
      <c r="C6" s="66" t="s">
        <v>54</v>
      </c>
    </row>
    <row r="7" spans="1:11" ht="12.95" customHeight="1" thickBot="1" x14ac:dyDescent="0.25">
      <c r="A7" s="63"/>
      <c r="B7" s="3" t="s">
        <v>3</v>
      </c>
      <c r="C7" s="66"/>
    </row>
    <row r="8" spans="1:11" ht="12.95" customHeight="1" thickBot="1" x14ac:dyDescent="0.25">
      <c r="A8" s="4" t="s">
        <v>4</v>
      </c>
      <c r="B8" s="11">
        <f>Agosto!B59</f>
        <v>14469404.620000008</v>
      </c>
      <c r="F8" s="18" t="s">
        <v>107</v>
      </c>
      <c r="G8" s="21" t="s">
        <v>182</v>
      </c>
      <c r="H8" s="21" t="s">
        <v>54</v>
      </c>
      <c r="I8" s="31"/>
      <c r="J8" s="58" t="s">
        <v>101</v>
      </c>
      <c r="K8" s="58"/>
    </row>
    <row r="9" spans="1:11" ht="12.95" customHeight="1" thickBot="1" x14ac:dyDescent="0.25">
      <c r="A9" s="7" t="s">
        <v>5</v>
      </c>
      <c r="B9" s="14"/>
      <c r="F9" s="23" t="s">
        <v>130</v>
      </c>
      <c r="G9" s="16">
        <v>3606513.1700000004</v>
      </c>
      <c r="H9" s="44">
        <v>1</v>
      </c>
      <c r="I9" s="33"/>
      <c r="J9" s="18" t="s">
        <v>70</v>
      </c>
      <c r="K9" s="26" t="s">
        <v>183</v>
      </c>
    </row>
    <row r="10" spans="1:11" ht="12.95" customHeight="1" thickBot="1" x14ac:dyDescent="0.25">
      <c r="A10" s="4" t="s">
        <v>6</v>
      </c>
      <c r="B10" s="10">
        <v>3606513.17</v>
      </c>
      <c r="C10" s="2">
        <v>1</v>
      </c>
      <c r="F10" s="23" t="s">
        <v>72</v>
      </c>
      <c r="G10" s="16">
        <v>125276.55999999998</v>
      </c>
      <c r="H10" s="44">
        <v>7</v>
      </c>
      <c r="I10" s="33"/>
      <c r="J10" s="18" t="s">
        <v>116</v>
      </c>
      <c r="K10" s="26" t="s">
        <v>184</v>
      </c>
    </row>
    <row r="11" spans="1:11" ht="12.95" customHeight="1" thickBot="1" x14ac:dyDescent="0.25">
      <c r="A11" s="4" t="s">
        <v>88</v>
      </c>
      <c r="B11" s="10"/>
      <c r="C11" s="2">
        <v>2</v>
      </c>
      <c r="F11" s="23" t="s">
        <v>73</v>
      </c>
      <c r="G11" s="16">
        <v>-346773.41000000003</v>
      </c>
      <c r="H11" s="44">
        <v>15</v>
      </c>
      <c r="I11" s="33"/>
      <c r="J11" s="18" t="s">
        <v>71</v>
      </c>
      <c r="K11" s="26" t="s">
        <v>185</v>
      </c>
    </row>
    <row r="12" spans="1:11" ht="12.95" customHeight="1" thickBot="1" x14ac:dyDescent="0.25">
      <c r="A12" s="4" t="s">
        <v>89</v>
      </c>
      <c r="B12" s="10"/>
      <c r="C12" s="2">
        <v>3</v>
      </c>
      <c r="F12" s="23" t="s">
        <v>74</v>
      </c>
      <c r="G12" s="16">
        <v>-162951.03</v>
      </c>
      <c r="H12" s="44">
        <v>16</v>
      </c>
      <c r="I12" s="33"/>
      <c r="J12" s="29"/>
      <c r="K12" s="29"/>
    </row>
    <row r="13" spans="1:11" ht="12.95" customHeight="1" thickBot="1" x14ac:dyDescent="0.25">
      <c r="A13" s="4" t="s">
        <v>90</v>
      </c>
      <c r="B13" s="10"/>
      <c r="C13" s="2">
        <v>4</v>
      </c>
      <c r="F13" s="23" t="s">
        <v>75</v>
      </c>
      <c r="G13" s="16">
        <v>-120504.98999999999</v>
      </c>
      <c r="H13" s="44">
        <v>18</v>
      </c>
      <c r="I13" s="33"/>
      <c r="J13" s="58" t="s">
        <v>102</v>
      </c>
      <c r="K13" s="58"/>
    </row>
    <row r="14" spans="1:11" ht="12.95" customHeight="1" thickBot="1" x14ac:dyDescent="0.25">
      <c r="A14" s="4" t="s">
        <v>91</v>
      </c>
      <c r="B14" s="10"/>
      <c r="C14" s="2">
        <v>5</v>
      </c>
      <c r="F14" s="23" t="s">
        <v>86</v>
      </c>
      <c r="G14" s="16">
        <v>-1953.56</v>
      </c>
      <c r="H14" s="44">
        <v>19</v>
      </c>
      <c r="I14" s="33"/>
      <c r="J14" s="18" t="s">
        <v>114</v>
      </c>
      <c r="K14" s="26">
        <v>3848292.56</v>
      </c>
    </row>
    <row r="15" spans="1:11" ht="12.95" customHeight="1" thickBot="1" x14ac:dyDescent="0.25">
      <c r="A15" s="4" t="s">
        <v>92</v>
      </c>
      <c r="B15" s="10"/>
      <c r="C15" s="2">
        <v>6</v>
      </c>
      <c r="F15" s="23" t="s">
        <v>77</v>
      </c>
      <c r="G15" s="16">
        <v>-25879.97</v>
      </c>
      <c r="H15" s="44">
        <v>21</v>
      </c>
      <c r="I15" s="33"/>
      <c r="J15" s="18" t="s">
        <v>145</v>
      </c>
      <c r="K15" s="26">
        <v>7638179.2300000004</v>
      </c>
    </row>
    <row r="16" spans="1:11" ht="12.95" customHeight="1" thickBot="1" x14ac:dyDescent="0.25">
      <c r="A16" s="4" t="s">
        <v>7</v>
      </c>
      <c r="B16" s="10">
        <v>125276.56</v>
      </c>
      <c r="C16" s="2">
        <v>7</v>
      </c>
      <c r="F16" s="23" t="s">
        <v>78</v>
      </c>
      <c r="G16" s="16">
        <v>-33278.780000000006</v>
      </c>
      <c r="H16" s="44">
        <v>25</v>
      </c>
      <c r="I16" s="33"/>
      <c r="J16" s="18" t="s">
        <v>106</v>
      </c>
      <c r="K16" s="26">
        <v>372.51</v>
      </c>
    </row>
    <row r="17" spans="1:11" ht="12.95" customHeight="1" thickBot="1" x14ac:dyDescent="0.25">
      <c r="A17" s="4" t="s">
        <v>93</v>
      </c>
      <c r="B17" s="10"/>
      <c r="C17" s="2">
        <v>8</v>
      </c>
      <c r="F17" s="23" t="s">
        <v>79</v>
      </c>
      <c r="G17" s="16">
        <v>-226249.44999999995</v>
      </c>
      <c r="H17" s="44">
        <v>27</v>
      </c>
      <c r="I17" s="33"/>
      <c r="J17" s="30"/>
      <c r="K17" s="26">
        <f>SUM(K14:K16)</f>
        <v>11486844.300000001</v>
      </c>
    </row>
    <row r="18" spans="1:11" ht="12.95" customHeight="1" thickBot="1" x14ac:dyDescent="0.25">
      <c r="A18" s="4" t="s">
        <v>94</v>
      </c>
      <c r="B18" s="10"/>
      <c r="C18" s="2">
        <v>9</v>
      </c>
      <c r="F18" s="23" t="s">
        <v>80</v>
      </c>
      <c r="G18" s="16">
        <v>-320189.94000000012</v>
      </c>
      <c r="H18" s="44">
        <v>28</v>
      </c>
      <c r="I18" s="33"/>
    </row>
    <row r="19" spans="1:11" ht="12.95" customHeight="1" thickBot="1" x14ac:dyDescent="0.25">
      <c r="A19" s="4" t="s">
        <v>95</v>
      </c>
      <c r="B19" s="10"/>
      <c r="C19" s="2">
        <v>10</v>
      </c>
      <c r="F19" s="23" t="s">
        <v>81</v>
      </c>
      <c r="G19" s="16">
        <v>-28786.169999999995</v>
      </c>
      <c r="H19" s="44">
        <v>30</v>
      </c>
      <c r="I19" s="33"/>
    </row>
    <row r="20" spans="1:11" ht="12.95" customHeight="1" thickBot="1" x14ac:dyDescent="0.25">
      <c r="A20" s="4" t="s">
        <v>8</v>
      </c>
      <c r="B20" s="10"/>
      <c r="C20" s="2">
        <v>11</v>
      </c>
      <c r="F20" s="23" t="s">
        <v>82</v>
      </c>
      <c r="G20" s="16">
        <v>-8209.67</v>
      </c>
      <c r="H20" s="44">
        <v>34</v>
      </c>
      <c r="I20" s="33"/>
    </row>
    <row r="21" spans="1:11" ht="12.95" customHeight="1" thickBot="1" x14ac:dyDescent="0.25">
      <c r="A21" s="4" t="s">
        <v>96</v>
      </c>
      <c r="B21" s="10"/>
      <c r="C21" s="2">
        <v>12</v>
      </c>
      <c r="F21" s="23" t="s">
        <v>83</v>
      </c>
      <c r="G21" s="16">
        <v>-908.72</v>
      </c>
      <c r="H21" s="44">
        <v>35</v>
      </c>
      <c r="I21" s="33"/>
    </row>
    <row r="22" spans="1:11" ht="12.95" customHeight="1" thickBot="1" x14ac:dyDescent="0.25">
      <c r="A22" s="4" t="s">
        <v>97</v>
      </c>
      <c r="B22" s="10"/>
      <c r="C22" s="2">
        <v>13</v>
      </c>
      <c r="F22" s="23" t="s">
        <v>84</v>
      </c>
      <c r="G22" s="16">
        <v>-31.460000000000012</v>
      </c>
      <c r="H22" s="44">
        <v>36</v>
      </c>
      <c r="I22" s="33"/>
    </row>
    <row r="23" spans="1:11" ht="12.95" customHeight="1" thickBot="1" x14ac:dyDescent="0.25">
      <c r="A23" s="4" t="s">
        <v>98</v>
      </c>
      <c r="B23" s="10"/>
      <c r="C23" s="2">
        <v>14</v>
      </c>
      <c r="F23" s="23" t="s">
        <v>85</v>
      </c>
      <c r="G23" s="16">
        <v>-1312259.5900000001</v>
      </c>
      <c r="H23" s="44">
        <v>40</v>
      </c>
      <c r="I23" s="33"/>
    </row>
    <row r="24" spans="1:11" ht="12.95" customHeight="1" thickBot="1" x14ac:dyDescent="0.25">
      <c r="A24" s="5" t="s">
        <v>9</v>
      </c>
      <c r="B24" s="11">
        <f>SUM(B10:B23)</f>
        <v>3731789.73</v>
      </c>
      <c r="F24" s="19" t="s">
        <v>56</v>
      </c>
      <c r="G24" s="20">
        <f>SUBTOTAL(9,G9:G23)</f>
        <v>1143812.9900000009</v>
      </c>
      <c r="H24" s="20"/>
      <c r="I24" s="34"/>
    </row>
    <row r="25" spans="1:11" ht="12.95" customHeight="1" thickBot="1" x14ac:dyDescent="0.25">
      <c r="A25" s="7" t="s">
        <v>10</v>
      </c>
      <c r="B25" s="14"/>
      <c r="I25" s="33"/>
    </row>
    <row r="26" spans="1:11" ht="12.95" customHeight="1" thickBot="1" x14ac:dyDescent="0.25">
      <c r="A26" s="5" t="s">
        <v>11</v>
      </c>
      <c r="B26" s="11">
        <f>SUM(B27:B36)</f>
        <v>658062.96</v>
      </c>
      <c r="F26" s="23"/>
      <c r="G26" s="16"/>
      <c r="H26" s="12"/>
      <c r="I26" s="33"/>
    </row>
    <row r="27" spans="1:11" ht="12.95" customHeight="1" thickBot="1" x14ac:dyDescent="0.25">
      <c r="A27" s="8" t="s">
        <v>12</v>
      </c>
      <c r="B27" s="10">
        <v>346773.41</v>
      </c>
      <c r="C27" s="2">
        <v>15</v>
      </c>
      <c r="I27" s="32"/>
    </row>
    <row r="28" spans="1:11" ht="12.95" customHeight="1" thickBot="1" x14ac:dyDescent="0.25">
      <c r="A28" s="8" t="s">
        <v>13</v>
      </c>
      <c r="B28" s="10">
        <v>162951.03</v>
      </c>
      <c r="C28" s="2">
        <v>16</v>
      </c>
      <c r="F28" s="13"/>
    </row>
    <row r="29" spans="1:11" ht="12.95" customHeight="1" thickBot="1" x14ac:dyDescent="0.25">
      <c r="A29" s="8" t="s">
        <v>14</v>
      </c>
      <c r="B29" s="10"/>
      <c r="C29" s="2">
        <v>17</v>
      </c>
    </row>
    <row r="30" spans="1:11" ht="12.95" customHeight="1" thickBot="1" x14ac:dyDescent="0.25">
      <c r="A30" s="8" t="s">
        <v>15</v>
      </c>
      <c r="B30" s="10">
        <f>120504.99-5881.8</f>
        <v>114623.19</v>
      </c>
      <c r="C30" s="2">
        <v>18</v>
      </c>
    </row>
    <row r="31" spans="1:11" ht="12.95" customHeight="1" thickBot="1" x14ac:dyDescent="0.25">
      <c r="A31" s="8" t="s">
        <v>16</v>
      </c>
      <c r="B31" s="10">
        <v>1953.56</v>
      </c>
      <c r="C31" s="2">
        <v>19</v>
      </c>
    </row>
    <row r="32" spans="1:11" ht="12.95" customHeight="1" thickBot="1" x14ac:dyDescent="0.25">
      <c r="A32" s="8" t="s">
        <v>17</v>
      </c>
      <c r="B32" s="10">
        <f>322.31</f>
        <v>322.31</v>
      </c>
      <c r="C32" s="2">
        <v>20</v>
      </c>
      <c r="F32" s="59" t="s">
        <v>186</v>
      </c>
      <c r="G32" s="59"/>
      <c r="H32" s="59"/>
      <c r="I32" s="28"/>
    </row>
    <row r="33" spans="1:11" ht="12.95" customHeight="1" thickBot="1" x14ac:dyDescent="0.25">
      <c r="A33" s="8" t="s">
        <v>18</v>
      </c>
      <c r="B33" s="10">
        <f>25879.97+5559.49</f>
        <v>31439.46</v>
      </c>
      <c r="C33" s="2">
        <v>21</v>
      </c>
      <c r="F33" s="12" t="s">
        <v>57</v>
      </c>
      <c r="G33" s="40">
        <v>3599.31</v>
      </c>
      <c r="H33" s="12">
        <v>21</v>
      </c>
      <c r="I33" s="16"/>
    </row>
    <row r="34" spans="1:11" ht="12.95" customHeight="1" thickBot="1" x14ac:dyDescent="0.25">
      <c r="A34" s="8" t="s">
        <v>19</v>
      </c>
      <c r="B34" s="10"/>
      <c r="C34" s="2">
        <v>22</v>
      </c>
      <c r="F34" s="12" t="s">
        <v>58</v>
      </c>
      <c r="G34" s="24">
        <v>1960.18</v>
      </c>
      <c r="H34" s="12">
        <v>21</v>
      </c>
      <c r="I34" s="12"/>
    </row>
    <row r="35" spans="1:11" ht="12.95" customHeight="1" thickBot="1" x14ac:dyDescent="0.25">
      <c r="A35" s="8" t="s">
        <v>99</v>
      </c>
      <c r="B35" s="10"/>
      <c r="C35" s="2">
        <v>23</v>
      </c>
      <c r="F35" s="12" t="s">
        <v>59</v>
      </c>
      <c r="G35" s="24">
        <v>7.48</v>
      </c>
      <c r="H35" s="12">
        <v>20</v>
      </c>
      <c r="I35" s="16"/>
    </row>
    <row r="36" spans="1:11" ht="12.95" customHeight="1" thickBot="1" x14ac:dyDescent="0.25">
      <c r="A36" s="8" t="s">
        <v>100</v>
      </c>
      <c r="B36" s="10"/>
      <c r="C36" s="2">
        <v>24</v>
      </c>
      <c r="F36" s="12" t="s">
        <v>60</v>
      </c>
      <c r="G36" s="24">
        <v>314.83</v>
      </c>
      <c r="H36" s="12">
        <v>20</v>
      </c>
      <c r="I36" s="16"/>
    </row>
    <row r="37" spans="1:11" ht="12.95" customHeight="1" thickBot="1" x14ac:dyDescent="0.25">
      <c r="A37" s="5" t="s">
        <v>20</v>
      </c>
      <c r="B37" s="11">
        <f>B38+B41</f>
        <v>259528.23</v>
      </c>
      <c r="F37" s="12"/>
      <c r="G37" s="38">
        <f>SUM(G33:G36)</f>
        <v>5881.7999999999993</v>
      </c>
      <c r="H37" s="12"/>
      <c r="I37" s="38"/>
    </row>
    <row r="38" spans="1:11" ht="12.95" customHeight="1" thickBot="1" x14ac:dyDescent="0.25">
      <c r="A38" s="5" t="s">
        <v>21</v>
      </c>
      <c r="B38" s="11">
        <f>SUM(B39:B40)</f>
        <v>33278.78</v>
      </c>
      <c r="F38" s="12"/>
      <c r="G38" s="12"/>
      <c r="H38" s="12"/>
      <c r="I38" s="12"/>
    </row>
    <row r="39" spans="1:11" ht="12.95" customHeight="1" thickBot="1" x14ac:dyDescent="0.25">
      <c r="A39" s="8" t="s">
        <v>22</v>
      </c>
      <c r="B39" s="10">
        <v>33278.78</v>
      </c>
      <c r="C39" s="2">
        <v>25</v>
      </c>
      <c r="F39" s="23" t="s">
        <v>61</v>
      </c>
      <c r="G39" s="24">
        <v>6865.66</v>
      </c>
      <c r="H39" s="12">
        <v>17</v>
      </c>
      <c r="I39" s="12"/>
    </row>
    <row r="40" spans="1:11" ht="12.95" customHeight="1" thickBot="1" x14ac:dyDescent="0.25">
      <c r="A40" s="8" t="s">
        <v>23</v>
      </c>
      <c r="B40" s="10"/>
      <c r="C40" s="2">
        <v>26</v>
      </c>
      <c r="F40" s="23" t="s">
        <v>62</v>
      </c>
      <c r="G40" s="24"/>
      <c r="H40" s="12">
        <v>17</v>
      </c>
      <c r="I40" s="12"/>
    </row>
    <row r="41" spans="1:11" ht="12.95" customHeight="1" thickBot="1" x14ac:dyDescent="0.25">
      <c r="A41" s="9" t="s">
        <v>24</v>
      </c>
      <c r="B41" s="10">
        <v>226249.45</v>
      </c>
      <c r="C41" s="2">
        <v>27</v>
      </c>
      <c r="F41" s="23" t="s">
        <v>63</v>
      </c>
      <c r="G41" s="24">
        <v>2684.14</v>
      </c>
      <c r="H41" s="12">
        <v>17</v>
      </c>
      <c r="I41" s="12"/>
      <c r="J41" s="17"/>
    </row>
    <row r="42" spans="1:11" ht="12.95" customHeight="1" thickBot="1" x14ac:dyDescent="0.25">
      <c r="A42" s="5" t="s">
        <v>25</v>
      </c>
      <c r="B42" s="11">
        <f>SUM(B43:B45)</f>
        <v>348976.11</v>
      </c>
      <c r="F42" s="23" t="s">
        <v>64</v>
      </c>
      <c r="G42" s="24">
        <v>1424.49</v>
      </c>
      <c r="H42" s="12">
        <v>17</v>
      </c>
      <c r="I42" s="12"/>
    </row>
    <row r="43" spans="1:11" ht="12.95" customHeight="1" thickBot="1" x14ac:dyDescent="0.25">
      <c r="A43" s="8" t="s">
        <v>26</v>
      </c>
      <c r="B43" s="10">
        <v>320189.94</v>
      </c>
      <c r="C43" s="2">
        <v>28</v>
      </c>
      <c r="F43" s="23" t="s">
        <v>65</v>
      </c>
      <c r="G43" s="24"/>
      <c r="H43" s="12">
        <v>17</v>
      </c>
      <c r="I43" s="12"/>
      <c r="K43" s="17"/>
    </row>
    <row r="44" spans="1:11" ht="12.95" customHeight="1" thickBot="1" x14ac:dyDescent="0.25">
      <c r="A44" s="8" t="s">
        <v>27</v>
      </c>
      <c r="B44" s="10"/>
      <c r="C44" s="2">
        <v>29</v>
      </c>
      <c r="F44" s="23" t="s">
        <v>108</v>
      </c>
      <c r="G44" s="24"/>
      <c r="H44" s="12">
        <v>17</v>
      </c>
      <c r="I44" s="12"/>
    </row>
    <row r="45" spans="1:11" ht="12.95" customHeight="1" thickBot="1" x14ac:dyDescent="0.25">
      <c r="A45" s="8" t="s">
        <v>28</v>
      </c>
      <c r="B45" s="10">
        <v>28786.17</v>
      </c>
      <c r="C45" s="2">
        <v>30</v>
      </c>
      <c r="F45" s="23" t="s">
        <v>109</v>
      </c>
      <c r="G45" s="24"/>
      <c r="H45" s="12">
        <v>17</v>
      </c>
      <c r="I45" s="12"/>
    </row>
    <row r="46" spans="1:11" ht="12.95" customHeight="1" thickBot="1" x14ac:dyDescent="0.25">
      <c r="A46" s="5" t="s">
        <v>29</v>
      </c>
      <c r="B46" s="11">
        <f>SUM(B47:B49)</f>
        <v>0</v>
      </c>
      <c r="F46" s="23" t="s">
        <v>66</v>
      </c>
      <c r="G46" s="24"/>
      <c r="H46" s="12">
        <v>17</v>
      </c>
      <c r="I46" s="12"/>
    </row>
    <row r="47" spans="1:11" ht="12.95" customHeight="1" thickBot="1" x14ac:dyDescent="0.25">
      <c r="A47" s="8" t="s">
        <v>30</v>
      </c>
      <c r="B47" s="10"/>
      <c r="C47" s="2">
        <v>31</v>
      </c>
      <c r="F47" s="23" t="s">
        <v>67</v>
      </c>
      <c r="G47" s="24">
        <v>9230.35</v>
      </c>
      <c r="H47" s="12">
        <v>17</v>
      </c>
      <c r="I47" s="12"/>
    </row>
    <row r="48" spans="1:11" ht="12.95" customHeight="1" thickBot="1" x14ac:dyDescent="0.25">
      <c r="A48" s="8" t="s">
        <v>31</v>
      </c>
      <c r="B48" s="10"/>
      <c r="C48" s="2">
        <v>32</v>
      </c>
      <c r="F48" s="23" t="s">
        <v>68</v>
      </c>
      <c r="G48" s="24">
        <v>21300.28</v>
      </c>
      <c r="H48" s="12">
        <v>17</v>
      </c>
      <c r="I48" s="12"/>
    </row>
    <row r="49" spans="1:9" ht="12.95" customHeight="1" thickBot="1" x14ac:dyDescent="0.25">
      <c r="A49" s="8" t="s">
        <v>32</v>
      </c>
      <c r="B49" s="10"/>
      <c r="C49" s="2">
        <v>33</v>
      </c>
      <c r="F49" s="23" t="s">
        <v>69</v>
      </c>
      <c r="G49" s="24"/>
      <c r="H49" s="12">
        <v>17</v>
      </c>
      <c r="I49" s="12"/>
    </row>
    <row r="50" spans="1:9" ht="12.95" customHeight="1" thickBot="1" x14ac:dyDescent="0.25">
      <c r="A50" s="9" t="s">
        <v>33</v>
      </c>
      <c r="B50" s="10">
        <v>8209.67</v>
      </c>
      <c r="C50" s="2">
        <v>34</v>
      </c>
      <c r="F50" s="23" t="s">
        <v>110</v>
      </c>
      <c r="G50" s="24"/>
      <c r="H50" s="12">
        <v>17</v>
      </c>
      <c r="I50" s="12"/>
    </row>
    <row r="51" spans="1:9" ht="12.95" customHeight="1" thickBot="1" x14ac:dyDescent="0.25">
      <c r="A51" s="9" t="s">
        <v>34</v>
      </c>
      <c r="B51" s="10">
        <v>908.72</v>
      </c>
      <c r="C51" s="2">
        <v>35</v>
      </c>
      <c r="F51" s="13"/>
      <c r="G51" s="37">
        <f>SUM(G39:G50)</f>
        <v>41504.92</v>
      </c>
    </row>
    <row r="52" spans="1:9" ht="12.95" customHeight="1" thickBot="1" x14ac:dyDescent="0.25">
      <c r="A52" s="9" t="s">
        <v>35</v>
      </c>
      <c r="B52" s="10">
        <v>31.46</v>
      </c>
      <c r="C52" s="2">
        <v>36</v>
      </c>
    </row>
    <row r="53" spans="1:9" ht="12.95" customHeight="1" thickBot="1" x14ac:dyDescent="0.25">
      <c r="A53" s="9" t="s">
        <v>36</v>
      </c>
      <c r="B53" s="10"/>
      <c r="C53" s="2">
        <v>37</v>
      </c>
    </row>
    <row r="54" spans="1:9" ht="12.95" customHeight="1" thickBot="1" x14ac:dyDescent="0.25">
      <c r="A54" s="9" t="s">
        <v>37</v>
      </c>
      <c r="B54" s="10"/>
      <c r="C54" s="2">
        <v>38</v>
      </c>
    </row>
    <row r="55" spans="1:9" ht="12.95" customHeight="1" thickBot="1" x14ac:dyDescent="0.25">
      <c r="A55" s="9" t="s">
        <v>38</v>
      </c>
      <c r="B55" s="10"/>
      <c r="C55" s="2">
        <v>39</v>
      </c>
    </row>
    <row r="56" spans="1:9" ht="12.95" customHeight="1" thickBot="1" x14ac:dyDescent="0.25">
      <c r="A56" s="9" t="s">
        <v>39</v>
      </c>
      <c r="B56" s="10">
        <v>1312259.5900000001</v>
      </c>
      <c r="C56" s="2">
        <v>40</v>
      </c>
    </row>
    <row r="57" spans="1:9" ht="12.95" customHeight="1" thickBot="1" x14ac:dyDescent="0.25">
      <c r="A57" s="5" t="s">
        <v>40</v>
      </c>
      <c r="B57" s="11">
        <f>B26+B37+B42+B46+B50+B51+B52+B53+B54+B55+B56</f>
        <v>2587976.7399999998</v>
      </c>
      <c r="F57" s="12"/>
    </row>
    <row r="58" spans="1:9" ht="12.95" customHeight="1" thickBot="1" x14ac:dyDescent="0.25">
      <c r="A58" s="5" t="s">
        <v>41</v>
      </c>
      <c r="B58" s="11">
        <f>B24-B57</f>
        <v>1143812.9900000002</v>
      </c>
    </row>
    <row r="59" spans="1:9" ht="12.95" customHeight="1" thickBot="1" x14ac:dyDescent="0.25">
      <c r="A59" s="5" t="s">
        <v>42</v>
      </c>
      <c r="B59" s="11">
        <f>B8+B24-B57</f>
        <v>15613217.610000009</v>
      </c>
    </row>
    <row r="60" spans="1:9" ht="12.95" customHeight="1" x14ac:dyDescent="0.2">
      <c r="A60" s="6"/>
      <c r="B60" s="17"/>
    </row>
    <row r="61" spans="1:9" ht="12.95" customHeight="1" thickBot="1" x14ac:dyDescent="0.25">
      <c r="A61" s="41" t="s">
        <v>43</v>
      </c>
      <c r="B61" s="41"/>
      <c r="C61" s="41"/>
      <c r="D61" s="41"/>
      <c r="E61" s="41"/>
    </row>
    <row r="62" spans="1:9" ht="12.95" customHeight="1" thickBot="1" x14ac:dyDescent="0.25">
      <c r="A62" s="62"/>
      <c r="B62" s="3" t="str">
        <f>B6</f>
        <v>Setembro</v>
      </c>
    </row>
    <row r="63" spans="1:9" ht="12.95" customHeight="1" thickBot="1" x14ac:dyDescent="0.25">
      <c r="A63" s="63"/>
      <c r="B63" s="3" t="s">
        <v>3</v>
      </c>
    </row>
    <row r="64" spans="1:9" ht="12.95" customHeight="1" thickBot="1" x14ac:dyDescent="0.25">
      <c r="A64" s="4" t="s">
        <v>44</v>
      </c>
      <c r="B64" s="10">
        <v>0</v>
      </c>
    </row>
    <row r="65" spans="1:7" ht="12.95" customHeight="1" thickBot="1" x14ac:dyDescent="0.25">
      <c r="A65" s="4" t="s">
        <v>45</v>
      </c>
      <c r="B65" s="10">
        <f>7638179.23+3848292.56</f>
        <v>11486471.790000001</v>
      </c>
    </row>
    <row r="66" spans="1:7" ht="12.95" customHeight="1" thickBot="1" x14ac:dyDescent="0.25">
      <c r="A66" s="4" t="s">
        <v>46</v>
      </c>
      <c r="B66" s="10">
        <v>372.51</v>
      </c>
    </row>
    <row r="67" spans="1:7" ht="12.95" customHeight="1" thickBot="1" x14ac:dyDescent="0.25">
      <c r="A67" s="5" t="s">
        <v>47</v>
      </c>
      <c r="B67" s="11">
        <f>SUM(B64:B66)</f>
        <v>11486844.300000001</v>
      </c>
      <c r="C67" s="17"/>
      <c r="E67" s="17"/>
    </row>
    <row r="68" spans="1:7" ht="12.95" customHeight="1" x14ac:dyDescent="0.2">
      <c r="A68" s="6"/>
    </row>
    <row r="69" spans="1:7" ht="12.95" customHeight="1" thickBot="1" x14ac:dyDescent="0.25">
      <c r="A69" s="41" t="s">
        <v>48</v>
      </c>
      <c r="B69" s="41"/>
      <c r="C69" s="41"/>
      <c r="D69" s="41"/>
      <c r="E69" s="41"/>
    </row>
    <row r="70" spans="1:7" ht="12.95" customHeight="1" thickBot="1" x14ac:dyDescent="0.25">
      <c r="A70" s="62"/>
      <c r="B70" s="3" t="str">
        <f>B62</f>
        <v>Setembro</v>
      </c>
      <c r="G70" s="15"/>
    </row>
    <row r="71" spans="1:7" ht="12.95" customHeight="1" thickBot="1" x14ac:dyDescent="0.25">
      <c r="A71" s="63"/>
      <c r="B71" s="3" t="s">
        <v>3</v>
      </c>
      <c r="G71" s="15"/>
    </row>
    <row r="72" spans="1:7" ht="12.95" customHeight="1" thickBot="1" x14ac:dyDescent="0.25">
      <c r="A72" s="4" t="s">
        <v>49</v>
      </c>
      <c r="B72" s="10"/>
      <c r="C72" s="25"/>
      <c r="G72" s="17"/>
    </row>
    <row r="73" spans="1:7" ht="12.95" customHeight="1" thickBot="1" x14ac:dyDescent="0.25">
      <c r="A73" s="4" t="s">
        <v>50</v>
      </c>
      <c r="B73" s="14">
        <f>+B67</f>
        <v>11486844.300000001</v>
      </c>
      <c r="C73" s="25"/>
    </row>
    <row r="74" spans="1:7" ht="12.95" customHeight="1" thickBot="1" x14ac:dyDescent="0.25">
      <c r="A74" s="5" t="s">
        <v>47</v>
      </c>
      <c r="B74" s="11">
        <f>SUM(B72:B73)</f>
        <v>11486844.300000001</v>
      </c>
      <c r="C74" s="17"/>
    </row>
    <row r="75" spans="1:7" ht="12.95" customHeight="1" x14ac:dyDescent="0.2">
      <c r="A75" s="6"/>
      <c r="F75" s="27"/>
      <c r="G75" s="22"/>
    </row>
    <row r="76" spans="1:7" ht="12.95" customHeight="1" thickBot="1" x14ac:dyDescent="0.25">
      <c r="A76" s="41" t="s">
        <v>51</v>
      </c>
      <c r="B76" s="41"/>
      <c r="C76" s="41"/>
      <c r="D76" s="41"/>
      <c r="E76" s="41"/>
      <c r="F76" s="50"/>
      <c r="G76" s="17"/>
    </row>
    <row r="77" spans="1:7" ht="12.95" customHeight="1" thickBot="1" x14ac:dyDescent="0.25">
      <c r="A77" s="4"/>
      <c r="B77" s="3" t="s">
        <v>52</v>
      </c>
      <c r="C77" s="64" t="s">
        <v>187</v>
      </c>
      <c r="D77" s="64"/>
      <c r="E77" s="50"/>
      <c r="F77" s="50"/>
    </row>
    <row r="78" spans="1:7" ht="12.95" customHeight="1" thickBot="1" x14ac:dyDescent="0.25">
      <c r="A78" s="4" t="s">
        <v>53</v>
      </c>
      <c r="B78" s="3" t="str">
        <f>B70</f>
        <v>Setembro</v>
      </c>
      <c r="C78" s="64"/>
      <c r="D78" s="64"/>
      <c r="E78" s="50"/>
      <c r="F78" s="50"/>
    </row>
    <row r="79" spans="1:7" ht="12.95" customHeight="1" x14ac:dyDescent="0.2">
      <c r="A79" s="6"/>
      <c r="C79" s="64"/>
      <c r="D79" s="64"/>
      <c r="E79" s="50"/>
      <c r="F79" s="35"/>
    </row>
    <row r="80" spans="1:7" ht="12.95" customHeight="1" x14ac:dyDescent="0.2">
      <c r="C80" s="35"/>
      <c r="D80" s="35"/>
      <c r="E80" s="35"/>
    </row>
    <row r="81" spans="3:5" ht="12.95" customHeight="1" x14ac:dyDescent="0.2">
      <c r="C81" s="35"/>
      <c r="D81" s="35"/>
      <c r="E81" s="17"/>
    </row>
    <row r="82" spans="3:5" ht="12.95" customHeight="1" x14ac:dyDescent="0.2">
      <c r="C82" s="35"/>
      <c r="D82" s="35"/>
      <c r="E82" s="17"/>
    </row>
    <row r="83" spans="3:5" ht="12.95" customHeight="1" x14ac:dyDescent="0.2">
      <c r="D83" s="17"/>
      <c r="E83" s="17"/>
    </row>
    <row r="84" spans="3:5" ht="12.95" customHeight="1" x14ac:dyDescent="0.2">
      <c r="E84" s="17"/>
    </row>
  </sheetData>
  <mergeCells count="11">
    <mergeCell ref="J8:K8"/>
    <mergeCell ref="C77:D79"/>
    <mergeCell ref="A1:C1"/>
    <mergeCell ref="A2:C2"/>
    <mergeCell ref="A3:B3"/>
    <mergeCell ref="A6:A7"/>
    <mergeCell ref="C6:C7"/>
    <mergeCell ref="J13:K13"/>
    <mergeCell ref="F32:H32"/>
    <mergeCell ref="A62:A63"/>
    <mergeCell ref="A70:A71"/>
  </mergeCells>
  <pageMargins left="0.78740157480314965" right="0.78740157480314965" top="0.98425196850393704" bottom="0.98425196850393704" header="0.51181102362204722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12</vt:i4>
      </vt:variant>
    </vt:vector>
  </HeadingPairs>
  <TitlesOfParts>
    <vt:vector size="25" baseType="lpstr">
      <vt:lpstr>Jan</vt:lpstr>
      <vt:lpstr>Fev</vt:lpstr>
      <vt:lpstr>Mar</vt:lpstr>
      <vt:lpstr>Abr</vt:lpstr>
      <vt:lpstr>Mai</vt:lpstr>
      <vt:lpstr>Jun</vt:lpstr>
      <vt:lpstr>Jul</vt:lpstr>
      <vt:lpstr>Agosto</vt:lpstr>
      <vt:lpstr>Setembro</vt:lpstr>
      <vt:lpstr>Outubro</vt:lpstr>
      <vt:lpstr>Novembro</vt:lpstr>
      <vt:lpstr>Dezembro</vt:lpstr>
      <vt:lpstr>2026</vt:lpstr>
      <vt:lpstr>Abr!Area_de_impressao</vt:lpstr>
      <vt:lpstr>Agosto!Area_de_impressao</vt:lpstr>
      <vt:lpstr>Dezembro!Area_de_impressao</vt:lpstr>
      <vt:lpstr>Fev!Area_de_impressao</vt:lpstr>
      <vt:lpstr>Jan!Area_de_impressao</vt:lpstr>
      <vt:lpstr>Jul!Area_de_impressao</vt:lpstr>
      <vt:lpstr>Jun!Area_de_impressao</vt:lpstr>
      <vt:lpstr>Mai!Area_de_impressao</vt:lpstr>
      <vt:lpstr>Mar!Area_de_impressao</vt:lpstr>
      <vt:lpstr>Novembro!Area_de_impressao</vt:lpstr>
      <vt:lpstr>Outubro!Area_de_impressao</vt:lpstr>
      <vt:lpstr>Setembro!Area_de_impressao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Jeane da Silva Moura</dc:creator>
  <cp:lastModifiedBy>Jeane da Silva Moura</cp:lastModifiedBy>
  <cp:lastPrinted>2025-11-17T17:11:43Z</cp:lastPrinted>
  <dcterms:created xsi:type="dcterms:W3CDTF">2021-02-24T18:56:59Z</dcterms:created>
  <dcterms:modified xsi:type="dcterms:W3CDTF">2026-03-17T18:34:10Z</dcterms:modified>
</cp:coreProperties>
</file>