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ontabilidade\AreaComum\Administracao\Adriana Contabil\2025\2025 CAC\13.Relatórios\"/>
    </mc:Choice>
  </mc:AlternateContent>
  <xr:revisionPtr revIDLastSave="0" documentId="13_ncr:1_{06DF6F5D-FA77-4E85-8664-60714F477C07}" xr6:coauthVersionLast="47" xr6:coauthVersionMax="47" xr10:uidLastSave="{00000000-0000-0000-0000-000000000000}"/>
  <bookViews>
    <workbookView xWindow="-120" yWindow="-120" windowWidth="20730" windowHeight="11040" firstSheet="3" activeTab="10" xr2:uid="{00000000-000D-0000-FFFF-FFFF00000000}"/>
  </bookViews>
  <sheets>
    <sheet name="Jan" sheetId="2" r:id="rId1"/>
    <sheet name="Fev" sheetId="3" r:id="rId2"/>
    <sheet name="Mar" sheetId="5" r:id="rId3"/>
    <sheet name="Abr" sheetId="7" r:id="rId4"/>
    <sheet name="Mai" sheetId="8" r:id="rId5"/>
    <sheet name="Jun" sheetId="9" r:id="rId6"/>
    <sheet name="Jul" sheetId="10" r:id="rId7"/>
    <sheet name="Agosto" sheetId="11" r:id="rId8"/>
    <sheet name="Setembro" sheetId="12" r:id="rId9"/>
    <sheet name="Outubro" sheetId="13" r:id="rId10"/>
    <sheet name="Novembro" sheetId="14" r:id="rId11"/>
    <sheet name="2025" sheetId="4" r:id="rId12"/>
  </sheets>
  <externalReferences>
    <externalReference r:id="rId13"/>
  </externalReferences>
  <definedNames>
    <definedName name="_xlnm.Print_Area" localSheetId="3">Abr!$A$1:$L$81</definedName>
    <definedName name="_xlnm.Print_Area" localSheetId="7">Agosto!$A$1:$L$81</definedName>
    <definedName name="_xlnm.Print_Area" localSheetId="1">Fev!$A$1:$K$81</definedName>
    <definedName name="_xlnm.Print_Area" localSheetId="0">Jan!$A$1:$K$81</definedName>
    <definedName name="_xlnm.Print_Area" localSheetId="6">Jul!$A$1:$K$81</definedName>
    <definedName name="_xlnm.Print_Area" localSheetId="5">Jun!$A$1:$K$81</definedName>
    <definedName name="_xlnm.Print_Area" localSheetId="4">Mai!$A$1:$K$81</definedName>
    <definedName name="_xlnm.Print_Area" localSheetId="2">Mar!$A$1:$K$81</definedName>
    <definedName name="_xlnm.Print_Area" localSheetId="10">Novembro!$A$1:$K$81</definedName>
    <definedName name="_xlnm.Print_Area" localSheetId="9">Outubro!$A$1:$L$81</definedName>
    <definedName name="_xlnm.Print_Area" localSheetId="8">Setembro!$A$1:$K$81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4" l="1"/>
  <c r="N10" i="4"/>
  <c r="B30" i="14"/>
  <c r="B33" i="14"/>
  <c r="B32" i="14"/>
  <c r="G26" i="14"/>
  <c r="B27" i="14"/>
  <c r="L66" i="4"/>
  <c r="L65" i="4"/>
  <c r="L56" i="4" l="1"/>
  <c r="N56" i="4" s="1"/>
  <c r="L55" i="4"/>
  <c r="K55" i="4"/>
  <c r="J55" i="4"/>
  <c r="L54" i="4"/>
  <c r="K54" i="4"/>
  <c r="J54" i="4"/>
  <c r="L53" i="4"/>
  <c r="K53" i="4"/>
  <c r="J53" i="4"/>
  <c r="L52" i="4"/>
  <c r="L51" i="4"/>
  <c r="L50" i="4"/>
  <c r="L45" i="4"/>
  <c r="L43" i="4"/>
  <c r="L41" i="4"/>
  <c r="L39" i="4"/>
  <c r="L33" i="4"/>
  <c r="L32" i="4"/>
  <c r="L31" i="4"/>
  <c r="L30" i="4"/>
  <c r="L29" i="4"/>
  <c r="L28" i="4"/>
  <c r="L27" i="4"/>
  <c r="L22" i="4"/>
  <c r="L16" i="4"/>
  <c r="L10" i="4"/>
  <c r="K17" i="14"/>
  <c r="B8" i="14"/>
  <c r="L8" i="4" s="1"/>
  <c r="B67" i="14"/>
  <c r="B73" i="14" s="1"/>
  <c r="B62" i="14"/>
  <c r="B70" i="14" s="1"/>
  <c r="B78" i="14" s="1"/>
  <c r="G51" i="14"/>
  <c r="B46" i="14"/>
  <c r="B42" i="14"/>
  <c r="B38" i="14"/>
  <c r="B37" i="14" s="1"/>
  <c r="G37" i="14"/>
  <c r="B26" i="14"/>
  <c r="B24" i="14"/>
  <c r="B27" i="13"/>
  <c r="K27" i="4" s="1"/>
  <c r="B30" i="13"/>
  <c r="B32" i="13"/>
  <c r="B33" i="13"/>
  <c r="G51" i="13"/>
  <c r="G37" i="13"/>
  <c r="K73" i="4"/>
  <c r="K66" i="4"/>
  <c r="K65" i="4"/>
  <c r="K56" i="4"/>
  <c r="K52" i="4"/>
  <c r="K51" i="4"/>
  <c r="K50" i="4"/>
  <c r="K45" i="4"/>
  <c r="K43" i="4"/>
  <c r="K41" i="4"/>
  <c r="K39" i="4"/>
  <c r="K33" i="4"/>
  <c r="K32" i="4"/>
  <c r="K31" i="4"/>
  <c r="K30" i="4"/>
  <c r="K29" i="4"/>
  <c r="K28" i="4"/>
  <c r="K22" i="4"/>
  <c r="K16" i="4"/>
  <c r="K10" i="4"/>
  <c r="B65" i="13"/>
  <c r="G25" i="13"/>
  <c r="B74" i="14" l="1"/>
  <c r="L73" i="4"/>
  <c r="B57" i="14"/>
  <c r="B58" i="14" s="1"/>
  <c r="L17" i="13"/>
  <c r="B67" i="13"/>
  <c r="B73" i="13" s="1"/>
  <c r="B74" i="13" s="1"/>
  <c r="B62" i="13"/>
  <c r="B70" i="13" s="1"/>
  <c r="B78" i="13" s="1"/>
  <c r="B46" i="13"/>
  <c r="B42" i="13"/>
  <c r="B38" i="13"/>
  <c r="B37" i="13" s="1"/>
  <c r="B26" i="13"/>
  <c r="B24" i="13"/>
  <c r="B30" i="12"/>
  <c r="B32" i="12"/>
  <c r="B33" i="12"/>
  <c r="G24" i="12"/>
  <c r="N55" i="4"/>
  <c r="N54" i="4"/>
  <c r="N53" i="4"/>
  <c r="N52" i="4"/>
  <c r="N51" i="4"/>
  <c r="N50" i="4"/>
  <c r="N49" i="4"/>
  <c r="N48" i="4"/>
  <c r="N47" i="4"/>
  <c r="N45" i="4"/>
  <c r="N43" i="4"/>
  <c r="N41" i="4"/>
  <c r="N39" i="4"/>
  <c r="N35" i="4"/>
  <c r="N34" i="4"/>
  <c r="N31" i="4"/>
  <c r="N29" i="4"/>
  <c r="N28" i="4"/>
  <c r="N27" i="4"/>
  <c r="N22" i="4"/>
  <c r="J56" i="4"/>
  <c r="J52" i="4"/>
  <c r="J51" i="4"/>
  <c r="J50" i="4"/>
  <c r="B59" i="14" l="1"/>
  <c r="B57" i="13"/>
  <c r="B58" i="13" s="1"/>
  <c r="N46" i="4"/>
  <c r="J73" i="4" l="1"/>
  <c r="J66" i="4"/>
  <c r="J65" i="4"/>
  <c r="J45" i="4"/>
  <c r="J43" i="4"/>
  <c r="J41" i="4"/>
  <c r="J39" i="4"/>
  <c r="J33" i="4"/>
  <c r="N33" i="4" s="1"/>
  <c r="J32" i="4"/>
  <c r="N32" i="4" s="1"/>
  <c r="J31" i="4"/>
  <c r="J30" i="4"/>
  <c r="N30" i="4" s="1"/>
  <c r="J29" i="4"/>
  <c r="J28" i="4"/>
  <c r="J27" i="4"/>
  <c r="J22" i="4"/>
  <c r="J16" i="4"/>
  <c r="J10" i="4"/>
  <c r="B65" i="12"/>
  <c r="G37" i="12"/>
  <c r="G51" i="12"/>
  <c r="K17" i="12" l="1"/>
  <c r="B67" i="12"/>
  <c r="B73" i="12" s="1"/>
  <c r="B74" i="12" s="1"/>
  <c r="B62" i="12"/>
  <c r="B70" i="12" s="1"/>
  <c r="B78" i="12" s="1"/>
  <c r="B46" i="12"/>
  <c r="B42" i="12"/>
  <c r="B38" i="12"/>
  <c r="B37" i="12" s="1"/>
  <c r="B26" i="12"/>
  <c r="B24" i="12"/>
  <c r="I73" i="4"/>
  <c r="I66" i="4"/>
  <c r="I65" i="4"/>
  <c r="I56" i="4"/>
  <c r="M56" i="4"/>
  <c r="I55" i="4"/>
  <c r="I54" i="4"/>
  <c r="I53" i="4"/>
  <c r="I52" i="4"/>
  <c r="I51" i="4"/>
  <c r="I50" i="4"/>
  <c r="I45" i="4"/>
  <c r="I43" i="4"/>
  <c r="I41" i="4"/>
  <c r="I39" i="4"/>
  <c r="I33" i="4"/>
  <c r="I32" i="4"/>
  <c r="I31" i="4"/>
  <c r="I30" i="4"/>
  <c r="I29" i="4"/>
  <c r="I28" i="4"/>
  <c r="I27" i="4"/>
  <c r="I16" i="4"/>
  <c r="I10" i="4"/>
  <c r="B27" i="11"/>
  <c r="B51" i="11"/>
  <c r="B43" i="11"/>
  <c r="B41" i="11"/>
  <c r="B39" i="11"/>
  <c r="B33" i="11"/>
  <c r="B31" i="11"/>
  <c r="B30" i="11"/>
  <c r="B28" i="11"/>
  <c r="G24" i="11"/>
  <c r="B32" i="11"/>
  <c r="B57" i="12" l="1"/>
  <c r="B58" i="12" s="1"/>
  <c r="B65" i="11"/>
  <c r="N36" i="4"/>
  <c r="M50" i="4"/>
  <c r="M52" i="4"/>
  <c r="M53" i="4"/>
  <c r="M54" i="4"/>
  <c r="M55" i="4"/>
  <c r="I46" i="4"/>
  <c r="J46" i="4"/>
  <c r="K46" i="4"/>
  <c r="L46" i="4"/>
  <c r="M47" i="4"/>
  <c r="M38" i="4"/>
  <c r="M22" i="4"/>
  <c r="I42" i="4"/>
  <c r="J42" i="4"/>
  <c r="K42" i="4"/>
  <c r="L42" i="4"/>
  <c r="I38" i="4"/>
  <c r="I37" i="4" s="1"/>
  <c r="J38" i="4"/>
  <c r="J37" i="4" s="1"/>
  <c r="K38" i="4"/>
  <c r="K37" i="4" s="1"/>
  <c r="L38" i="4"/>
  <c r="L37" i="4" s="1"/>
  <c r="I24" i="4"/>
  <c r="J24" i="4"/>
  <c r="K24" i="4"/>
  <c r="L24" i="4"/>
  <c r="I26" i="4"/>
  <c r="J26" i="4"/>
  <c r="K26" i="4"/>
  <c r="L26" i="4"/>
  <c r="L15" i="11"/>
  <c r="L17" i="11" s="1"/>
  <c r="B67" i="11"/>
  <c r="B73" i="11" s="1"/>
  <c r="B74" i="11" s="1"/>
  <c r="B62" i="11"/>
  <c r="B70" i="11" s="1"/>
  <c r="B78" i="11" s="1"/>
  <c r="G51" i="11"/>
  <c r="B46" i="11"/>
  <c r="B42" i="11"/>
  <c r="B38" i="11"/>
  <c r="B37" i="11" s="1"/>
  <c r="G37" i="11"/>
  <c r="B26" i="11"/>
  <c r="B24" i="11"/>
  <c r="B27" i="10"/>
  <c r="H27" i="4" s="1"/>
  <c r="B30" i="10"/>
  <c r="H30" i="4" s="1"/>
  <c r="B32" i="10"/>
  <c r="B33" i="10"/>
  <c r="H33" i="4" s="1"/>
  <c r="G51" i="10"/>
  <c r="G25" i="10"/>
  <c r="G25" i="9"/>
  <c r="H66" i="4"/>
  <c r="I62" i="4"/>
  <c r="J62" i="4"/>
  <c r="K62" i="4"/>
  <c r="L62" i="4"/>
  <c r="M62" i="4"/>
  <c r="H56" i="4"/>
  <c r="H55" i="4"/>
  <c r="H54" i="4"/>
  <c r="H53" i="4"/>
  <c r="H52" i="4"/>
  <c r="H51" i="4"/>
  <c r="H50" i="4"/>
  <c r="H47" i="4"/>
  <c r="H46" i="4" s="1"/>
  <c r="H45" i="4"/>
  <c r="H43" i="4"/>
  <c r="H41" i="4"/>
  <c r="H39" i="4"/>
  <c r="H38" i="4" s="1"/>
  <c r="H32" i="4"/>
  <c r="H31" i="4"/>
  <c r="H29" i="4"/>
  <c r="H28" i="4"/>
  <c r="H22" i="4"/>
  <c r="H16" i="4"/>
  <c r="H10" i="4"/>
  <c r="H24" i="4" s="1"/>
  <c r="N24" i="4" l="1"/>
  <c r="M46" i="4"/>
  <c r="N38" i="4"/>
  <c r="N37" i="4" s="1"/>
  <c r="M26" i="4"/>
  <c r="N42" i="4"/>
  <c r="N26" i="4"/>
  <c r="M42" i="4"/>
  <c r="M37" i="4"/>
  <c r="M24" i="4"/>
  <c r="B57" i="11"/>
  <c r="H26" i="4"/>
  <c r="H42" i="4"/>
  <c r="H37" i="4"/>
  <c r="B58" i="11" l="1"/>
  <c r="H57" i="4"/>
  <c r="H58" i="4" s="1"/>
  <c r="B65" i="10" l="1"/>
  <c r="K15" i="10"/>
  <c r="K17" i="10" s="1"/>
  <c r="B62" i="10"/>
  <c r="B70" i="10" s="1"/>
  <c r="B78" i="10" s="1"/>
  <c r="B46" i="10"/>
  <c r="B42" i="10"/>
  <c r="B38" i="10"/>
  <c r="B37" i="10" s="1"/>
  <c r="G37" i="10"/>
  <c r="B26" i="10"/>
  <c r="B24" i="10"/>
  <c r="B27" i="9"/>
  <c r="G27" i="4" s="1"/>
  <c r="B30" i="9"/>
  <c r="G30" i="4" s="1"/>
  <c r="B33" i="9"/>
  <c r="G33" i="4" s="1"/>
  <c r="G37" i="9"/>
  <c r="G56" i="4"/>
  <c r="G55" i="4"/>
  <c r="G54" i="4"/>
  <c r="G53" i="4"/>
  <c r="G52" i="4"/>
  <c r="G51" i="4"/>
  <c r="G50" i="4"/>
  <c r="G47" i="4"/>
  <c r="G45" i="4"/>
  <c r="G43" i="4"/>
  <c r="G41" i="4"/>
  <c r="G39" i="4"/>
  <c r="G36" i="4"/>
  <c r="G35" i="4"/>
  <c r="G34" i="4"/>
  <c r="G32" i="4"/>
  <c r="G31" i="4"/>
  <c r="G29" i="4"/>
  <c r="G28" i="4"/>
  <c r="G58" i="9"/>
  <c r="B67" i="10" l="1"/>
  <c r="H65" i="4"/>
  <c r="B73" i="10"/>
  <c r="B57" i="10"/>
  <c r="B65" i="9"/>
  <c r="G65" i="4" s="1"/>
  <c r="K17" i="9"/>
  <c r="G66" i="4"/>
  <c r="G46" i="4"/>
  <c r="G42" i="4"/>
  <c r="G38" i="4"/>
  <c r="G37" i="4" s="1"/>
  <c r="G26" i="4"/>
  <c r="G22" i="4"/>
  <c r="G16" i="4"/>
  <c r="G13" i="4"/>
  <c r="G10" i="4"/>
  <c r="B73" i="9"/>
  <c r="B74" i="9" s="1"/>
  <c r="B67" i="9"/>
  <c r="B62" i="9"/>
  <c r="B70" i="9" s="1"/>
  <c r="B78" i="9" s="1"/>
  <c r="G51" i="9"/>
  <c r="B46" i="9"/>
  <c r="B42" i="9"/>
  <c r="B38" i="9"/>
  <c r="B37" i="9" s="1"/>
  <c r="B26" i="9"/>
  <c r="B24" i="9"/>
  <c r="B27" i="8"/>
  <c r="F73" i="4"/>
  <c r="F66" i="4"/>
  <c r="F65" i="4"/>
  <c r="F13" i="4"/>
  <c r="F56" i="4"/>
  <c r="F55" i="4"/>
  <c r="F54" i="4"/>
  <c r="F53" i="4"/>
  <c r="F52" i="4"/>
  <c r="F51" i="4"/>
  <c r="F50" i="4"/>
  <c r="F47" i="4"/>
  <c r="F46" i="4" s="1"/>
  <c r="F45" i="4"/>
  <c r="F43" i="4"/>
  <c r="F42" i="4" s="1"/>
  <c r="F41" i="4"/>
  <c r="F39" i="4"/>
  <c r="F38" i="4" s="1"/>
  <c r="F37" i="4" s="1"/>
  <c r="F36" i="4"/>
  <c r="F35" i="4"/>
  <c r="F34" i="4"/>
  <c r="F33" i="4"/>
  <c r="F32" i="4"/>
  <c r="F31" i="4"/>
  <c r="F30" i="4"/>
  <c r="F29" i="4"/>
  <c r="F28" i="4"/>
  <c r="F27" i="4"/>
  <c r="F22" i="4"/>
  <c r="F16" i="4"/>
  <c r="F10" i="4"/>
  <c r="B30" i="8"/>
  <c r="B32" i="8"/>
  <c r="B33" i="8"/>
  <c r="G59" i="8"/>
  <c r="B74" i="10" l="1"/>
  <c r="H73" i="4"/>
  <c r="F24" i="4"/>
  <c r="F26" i="4"/>
  <c r="B58" i="10"/>
  <c r="G57" i="4"/>
  <c r="G24" i="4"/>
  <c r="G73" i="4"/>
  <c r="B57" i="9"/>
  <c r="B65" i="8"/>
  <c r="B67" i="8" s="1"/>
  <c r="G26" i="8"/>
  <c r="K17" i="8"/>
  <c r="B62" i="8"/>
  <c r="B70" i="8" s="1"/>
  <c r="B78" i="8" s="1"/>
  <c r="G52" i="8"/>
  <c r="B46" i="8"/>
  <c r="B42" i="8"/>
  <c r="G38" i="8"/>
  <c r="B38" i="8"/>
  <c r="B37" i="8" s="1"/>
  <c r="B26" i="8"/>
  <c r="B24" i="8"/>
  <c r="E66" i="4"/>
  <c r="E56" i="4"/>
  <c r="E55" i="4"/>
  <c r="E54" i="4"/>
  <c r="E53" i="4"/>
  <c r="E52" i="4"/>
  <c r="E51" i="4"/>
  <c r="E50" i="4"/>
  <c r="E47" i="4"/>
  <c r="E45" i="4"/>
  <c r="E43" i="4"/>
  <c r="E41" i="4"/>
  <c r="E39" i="4"/>
  <c r="E36" i="4"/>
  <c r="E35" i="4"/>
  <c r="E34" i="4"/>
  <c r="E31" i="4"/>
  <c r="E29" i="4"/>
  <c r="E28" i="4"/>
  <c r="E22" i="4"/>
  <c r="E13" i="4"/>
  <c r="E16" i="4"/>
  <c r="E10" i="4"/>
  <c r="B30" i="7"/>
  <c r="E30" i="4" s="1"/>
  <c r="B32" i="7"/>
  <c r="E32" i="4" s="1"/>
  <c r="B33" i="7"/>
  <c r="E33" i="4" s="1"/>
  <c r="B27" i="7"/>
  <c r="E27" i="4" s="1"/>
  <c r="G26" i="7"/>
  <c r="B65" i="7"/>
  <c r="E65" i="4" s="1"/>
  <c r="G52" i="7"/>
  <c r="G58" i="4" l="1"/>
  <c r="B58" i="9"/>
  <c r="B73" i="8"/>
  <c r="B74" i="8" s="1"/>
  <c r="B57" i="8"/>
  <c r="L17" i="7"/>
  <c r="B73" i="7"/>
  <c r="B67" i="7"/>
  <c r="B62" i="7"/>
  <c r="B70" i="7" s="1"/>
  <c r="B78" i="7" s="1"/>
  <c r="G59" i="7"/>
  <c r="B46" i="7"/>
  <c r="B42" i="7"/>
  <c r="G38" i="7"/>
  <c r="B38" i="7"/>
  <c r="B37" i="7" s="1"/>
  <c r="B26" i="7"/>
  <c r="B24" i="7"/>
  <c r="N23" i="4"/>
  <c r="E38" i="4"/>
  <c r="E64" i="4"/>
  <c r="B58" i="8" l="1"/>
  <c r="B74" i="7"/>
  <c r="E73" i="4"/>
  <c r="B57" i="7"/>
  <c r="E46" i="4"/>
  <c r="E42" i="4"/>
  <c r="E26" i="4"/>
  <c r="E24" i="4"/>
  <c r="E37" i="4"/>
  <c r="B33" i="5"/>
  <c r="D33" i="4" s="1"/>
  <c r="B30" i="5"/>
  <c r="B27" i="5"/>
  <c r="D27" i="4" s="1"/>
  <c r="G59" i="5"/>
  <c r="G52" i="5"/>
  <c r="G38" i="5"/>
  <c r="G25" i="5"/>
  <c r="B65" i="5"/>
  <c r="D65" i="4" s="1"/>
  <c r="D66" i="4"/>
  <c r="D64" i="4"/>
  <c r="D56" i="4"/>
  <c r="D55" i="4"/>
  <c r="D54" i="4"/>
  <c r="D53" i="4"/>
  <c r="D52" i="4"/>
  <c r="D51" i="4"/>
  <c r="D50" i="4"/>
  <c r="D49" i="4"/>
  <c r="D48" i="4"/>
  <c r="D47" i="4"/>
  <c r="D46" i="4" s="1"/>
  <c r="D45" i="4"/>
  <c r="D43" i="4"/>
  <c r="D41" i="4"/>
  <c r="D39" i="4"/>
  <c r="D38" i="4" s="1"/>
  <c r="D36" i="4"/>
  <c r="D35" i="4"/>
  <c r="D34" i="4"/>
  <c r="D32" i="4"/>
  <c r="D31" i="4"/>
  <c r="D30" i="4"/>
  <c r="D29" i="4"/>
  <c r="D28" i="4"/>
  <c r="D22" i="4"/>
  <c r="D16" i="4"/>
  <c r="D13" i="4"/>
  <c r="D10" i="4"/>
  <c r="D24" i="4" s="1"/>
  <c r="K20" i="5"/>
  <c r="B58" i="7" l="1"/>
  <c r="D26" i="4"/>
  <c r="D42" i="4"/>
  <c r="D37" i="4"/>
  <c r="D57" i="4" l="1"/>
  <c r="D58" i="4" s="1"/>
  <c r="B73" i="5" l="1"/>
  <c r="B67" i="5"/>
  <c r="B62" i="5"/>
  <c r="B70" i="5" s="1"/>
  <c r="B78" i="5" s="1"/>
  <c r="B46" i="5"/>
  <c r="B42" i="5"/>
  <c r="B38" i="5"/>
  <c r="B37" i="5" s="1"/>
  <c r="B26" i="5"/>
  <c r="B24" i="5"/>
  <c r="B27" i="3"/>
  <c r="B24" i="3"/>
  <c r="B52" i="3"/>
  <c r="B51" i="3"/>
  <c r="B50" i="3"/>
  <c r="B47" i="3"/>
  <c r="B45" i="3"/>
  <c r="B43" i="3"/>
  <c r="B42" i="3" s="1"/>
  <c r="B41" i="3"/>
  <c r="B39" i="3"/>
  <c r="B33" i="3"/>
  <c r="B30" i="3"/>
  <c r="B28" i="3"/>
  <c r="B32" i="3"/>
  <c r="G25" i="3"/>
  <c r="B65" i="3"/>
  <c r="B67" i="3" s="1"/>
  <c r="B66" i="3"/>
  <c r="G59" i="3"/>
  <c r="B74" i="5" l="1"/>
  <c r="D73" i="4"/>
  <c r="B57" i="5"/>
  <c r="B58" i="5" s="1"/>
  <c r="B26" i="3"/>
  <c r="C66" i="4" l="1"/>
  <c r="C65" i="4"/>
  <c r="C64" i="4"/>
  <c r="C56" i="4"/>
  <c r="C55" i="4"/>
  <c r="C54" i="4"/>
  <c r="C53" i="4"/>
  <c r="C52" i="4"/>
  <c r="C51" i="4"/>
  <c r="C50" i="4"/>
  <c r="C47" i="4"/>
  <c r="C45" i="4"/>
  <c r="C43" i="4"/>
  <c r="C41" i="4"/>
  <c r="C39" i="4"/>
  <c r="C36" i="4"/>
  <c r="C35" i="4"/>
  <c r="C34" i="4"/>
  <c r="C33" i="4"/>
  <c r="C32" i="4"/>
  <c r="C31" i="4"/>
  <c r="C30" i="4"/>
  <c r="C29" i="4"/>
  <c r="C28" i="4"/>
  <c r="C27" i="4"/>
  <c r="C22" i="4"/>
  <c r="C16" i="4"/>
  <c r="C13" i="4"/>
  <c r="C10" i="4"/>
  <c r="K20" i="3"/>
  <c r="C24" i="4" l="1"/>
  <c r="B73" i="4" l="1"/>
  <c r="B47" i="4"/>
  <c r="B66" i="4"/>
  <c r="B65" i="4"/>
  <c r="B64" i="4"/>
  <c r="B56" i="4"/>
  <c r="B55" i="4"/>
  <c r="B54" i="4"/>
  <c r="B53" i="4"/>
  <c r="B52" i="4"/>
  <c r="B51" i="4"/>
  <c r="B50" i="4"/>
  <c r="B45" i="4"/>
  <c r="B43" i="4"/>
  <c r="B41" i="4"/>
  <c r="B39" i="4"/>
  <c r="B36" i="4"/>
  <c r="B35" i="4"/>
  <c r="B34" i="4"/>
  <c r="B33" i="4"/>
  <c r="B32" i="4"/>
  <c r="B31" i="4"/>
  <c r="B30" i="4"/>
  <c r="B29" i="4"/>
  <c r="B28" i="4"/>
  <c r="B27" i="4"/>
  <c r="B22" i="4"/>
  <c r="B16" i="4"/>
  <c r="B13" i="4"/>
  <c r="N13" i="4" s="1"/>
  <c r="B10" i="4"/>
  <c r="M74" i="4"/>
  <c r="L74" i="4"/>
  <c r="K74" i="4"/>
  <c r="J74" i="4"/>
  <c r="I74" i="4"/>
  <c r="H74" i="4"/>
  <c r="G74" i="4"/>
  <c r="F74" i="4"/>
  <c r="E74" i="4"/>
  <c r="D74" i="4"/>
  <c r="B74" i="4"/>
  <c r="D67" i="4"/>
  <c r="C67" i="4"/>
  <c r="M70" i="4"/>
  <c r="L70" i="4"/>
  <c r="K70" i="4"/>
  <c r="J70" i="4"/>
  <c r="I70" i="4"/>
  <c r="H62" i="4"/>
  <c r="H70" i="4" s="1"/>
  <c r="G62" i="4"/>
  <c r="G70" i="4" s="1"/>
  <c r="F62" i="4"/>
  <c r="F70" i="4" s="1"/>
  <c r="E62" i="4"/>
  <c r="E70" i="4" s="1"/>
  <c r="D62" i="4"/>
  <c r="D70" i="4" s="1"/>
  <c r="C62" i="4"/>
  <c r="C70" i="4" s="1"/>
  <c r="B62" i="4"/>
  <c r="B70" i="4" s="1"/>
  <c r="C46" i="4"/>
  <c r="C42" i="4"/>
  <c r="C38" i="4"/>
  <c r="C37" i="4" s="1"/>
  <c r="J57" i="4"/>
  <c r="K57" i="4"/>
  <c r="C26" i="4"/>
  <c r="J67" i="4" l="1"/>
  <c r="I67" i="4"/>
  <c r="L67" i="4"/>
  <c r="G67" i="4"/>
  <c r="B24" i="4"/>
  <c r="H67" i="4"/>
  <c r="B42" i="4"/>
  <c r="B26" i="4"/>
  <c r="B38" i="4"/>
  <c r="F67" i="4"/>
  <c r="M67" i="4"/>
  <c r="K67" i="4"/>
  <c r="E67" i="4"/>
  <c r="C57" i="4"/>
  <c r="B46" i="4"/>
  <c r="B67" i="4"/>
  <c r="B37" i="4"/>
  <c r="F57" i="4"/>
  <c r="F58" i="4" s="1"/>
  <c r="M57" i="4"/>
  <c r="M59" i="4" s="1"/>
  <c r="E57" i="4"/>
  <c r="L57" i="4"/>
  <c r="L58" i="4" s="1"/>
  <c r="J58" i="4"/>
  <c r="K58" i="4"/>
  <c r="I57" i="4"/>
  <c r="I58" i="4" s="1"/>
  <c r="B57" i="4" l="1"/>
  <c r="B58" i="4" s="1"/>
  <c r="E58" i="4"/>
  <c r="C58" i="4"/>
  <c r="N57" i="4"/>
  <c r="N58" i="4" s="1"/>
  <c r="M58" i="4"/>
  <c r="L59" i="4"/>
  <c r="B73" i="3" l="1"/>
  <c r="C73" i="4" s="1"/>
  <c r="C74" i="4" s="1"/>
  <c r="B62" i="3"/>
  <c r="B70" i="3" s="1"/>
  <c r="B78" i="3" s="1"/>
  <c r="G52" i="3"/>
  <c r="B46" i="3"/>
  <c r="G38" i="3"/>
  <c r="B38" i="3"/>
  <c r="B37" i="3" s="1"/>
  <c r="B57" i="3" s="1"/>
  <c r="B58" i="3" s="1"/>
  <c r="B74" i="3" l="1"/>
  <c r="B30" i="2"/>
  <c r="B32" i="2"/>
  <c r="B33" i="2"/>
  <c r="B27" i="2"/>
  <c r="B65" i="2"/>
  <c r="B73" i="2" s="1"/>
  <c r="G25" i="2"/>
  <c r="G59" i="2"/>
  <c r="G52" i="2"/>
  <c r="G38" i="2"/>
  <c r="B8" i="2" l="1"/>
  <c r="B8" i="4" s="1"/>
  <c r="B59" i="4" s="1"/>
  <c r="K20" i="2" l="1"/>
  <c r="B26" i="2" l="1"/>
  <c r="B24" i="2"/>
  <c r="B46" i="2" l="1"/>
  <c r="B38" i="2"/>
  <c r="B42" i="2" l="1"/>
  <c r="B37" i="2" l="1"/>
  <c r="B57" i="2" s="1"/>
  <c r="B59" i="2" s="1"/>
  <c r="B8" i="3" s="1"/>
  <c r="C8" i="4" l="1"/>
  <c r="C59" i="4" s="1"/>
  <c r="B59" i="3"/>
  <c r="B8" i="5" s="1"/>
  <c r="B58" i="2"/>
  <c r="D8" i="4" l="1"/>
  <c r="D59" i="4" s="1"/>
  <c r="B59" i="5"/>
  <c r="B8" i="7" s="1"/>
  <c r="B67" i="2"/>
  <c r="B74" i="2"/>
  <c r="B62" i="2"/>
  <c r="B70" i="2" s="1"/>
  <c r="B78" i="2" s="1"/>
  <c r="E8" i="4" l="1"/>
  <c r="E59" i="4" s="1"/>
  <c r="B59" i="7"/>
  <c r="B8" i="8" s="1"/>
  <c r="B59" i="8" l="1"/>
  <c r="B8" i="9" s="1"/>
  <c r="F8" i="4"/>
  <c r="F59" i="4" s="1"/>
  <c r="G8" i="4" l="1"/>
  <c r="G59" i="4" s="1"/>
  <c r="B59" i="9"/>
  <c r="B8" i="10" s="1"/>
  <c r="H8" i="4" l="1"/>
  <c r="H59" i="4" s="1"/>
  <c r="B59" i="10"/>
  <c r="B8" i="11" s="1"/>
  <c r="I8" i="4" l="1"/>
  <c r="I59" i="4" s="1"/>
  <c r="B59" i="11"/>
  <c r="B8" i="12" s="1"/>
  <c r="J8" i="4" l="1"/>
  <c r="J59" i="4" s="1"/>
  <c r="B59" i="12"/>
  <c r="B8" i="13" s="1"/>
  <c r="K8" i="4" l="1"/>
  <c r="K59" i="4" s="1"/>
  <c r="B59" i="13"/>
</calcChain>
</file>

<file path=xl/sharedStrings.xml><?xml version="1.0" encoding="utf-8"?>
<sst xmlns="http://schemas.openxmlformats.org/spreadsheetml/2006/main" count="1494" uniqueCount="217">
  <si>
    <t>Relatório - Demonstrativo do Fluxo de Caixa</t>
  </si>
  <si>
    <t> 616 - Fluxo de Caixa </t>
  </si>
  <si>
    <t>Janeiro</t>
  </si>
  <si>
    <t>Valor</t>
  </si>
  <si>
    <t>Saldo do Mês Anterior</t>
  </si>
  <si>
    <t>RECEITAS</t>
  </si>
  <si>
    <t>Repasse Contrato de Gestão/Convênio/ Termos de Aditamento</t>
  </si>
  <si>
    <t>Receitas Financeiras</t>
  </si>
  <si>
    <t>Doações - Recursos Financeiros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</si>
  <si>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</si>
  <si>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</si>
  <si>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</si>
  <si>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</si>
  <si>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</si>
  <si>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</si>
  <si>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</si>
  <si>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</si>
  <si>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</si>
  <si>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</si>
  <si>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</si>
  <si>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</si>
  <si>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</si>
  <si>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</si>
  <si>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</si>
  <si>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</si>
  <si>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</si>
  <si>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</si>
  <si>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</si>
  <si>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</si>
  <si>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</si>
  <si>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</si>
  <si>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</si>
  <si>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</si>
  <si>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</si>
  <si>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</si>
  <si>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</si>
  <si>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</si>
  <si>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</si>
  <si>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</si>
  <si>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</si>
  <si>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</si>
  <si>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</si>
  <si>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</si>
  <si>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</si>
  <si>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</si>
  <si>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</si>
  <si>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</si>
  <si>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</si>
  <si>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</si>
  <si>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</si>
  <si>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</si>
  <si>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 371 - Observação </t>
  </si>
  <si>
    <t>Mês</t>
  </si>
  <si>
    <t>Descrição</t>
  </si>
  <si>
    <t>Seq</t>
  </si>
  <si>
    <t>JAN</t>
  </si>
  <si>
    <t>Total Geral</t>
  </si>
  <si>
    <t xml:space="preserve">4 0 2 - INSS FERIAS    </t>
  </si>
  <si>
    <t xml:space="preserve">4 1 2 -  IR FERIAS    </t>
  </si>
  <si>
    <t xml:space="preserve">4 1 4 - IR 13o SALARI </t>
  </si>
  <si>
    <t xml:space="preserve">4 0 3 -  INSS13oSALAR     </t>
  </si>
  <si>
    <t>029 - DSR H EXTRA</t>
  </si>
  <si>
    <t>080 - H EXTRA 50%</t>
  </si>
  <si>
    <t>081 - H EXTRA 60%</t>
  </si>
  <si>
    <t>082 - H EXTRA 100%</t>
  </si>
  <si>
    <t>088 - H EXTRA 80%</t>
  </si>
  <si>
    <t>143 - H EXTRA 100% - M</t>
  </si>
  <si>
    <t>158 - HORA EXTRA FER</t>
  </si>
  <si>
    <t>161 - HS EXTRAS 90%</t>
  </si>
  <si>
    <t>162 - HS EXT 90% - M A</t>
  </si>
  <si>
    <t>Saldo Mês</t>
  </si>
  <si>
    <t>Saldo Final</t>
  </si>
  <si>
    <t>RECEITA FINANCEIRA</t>
  </si>
  <si>
    <t>ORDENADOS</t>
  </si>
  <si>
    <t>BENEFÍCIOS</t>
  </si>
  <si>
    <t>ENCARGOS SOCIAIS</t>
  </si>
  <si>
    <t>13º SALÁRIO</t>
  </si>
  <si>
    <t>FÉRIAS</t>
  </si>
  <si>
    <t>PESSOA JURÍDICA</t>
  </si>
  <si>
    <t>ADMINISTRATIVOS</t>
  </si>
  <si>
    <t>MATERIAIS E MEDICAMENTOS</t>
  </si>
  <si>
    <t>MATERIAIS DE CONSUMO</t>
  </si>
  <si>
    <t>UTILIDADE PÚBLICA</t>
  </si>
  <si>
    <t>TRIBUTÁRIAS</t>
  </si>
  <si>
    <t>FINANCEIRAS</t>
  </si>
  <si>
    <t>OUTRAS DESPESAS</t>
  </si>
  <si>
    <t>RESCISÕES</t>
  </si>
  <si>
    <t>AÇÕES JUDICIAIS - AÇÕES TRABALHISTAS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</si>
  <si>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</si>
  <si>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</si>
  <si>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</si>
  <si>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</si>
  <si>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</si>
  <si>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</si>
  <si>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</si>
  <si>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</si>
  <si>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</si>
  <si>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</si>
  <si>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</si>
  <si>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Ordenados - Complemento Piso Enfermagem</t>
  </si>
  <si>
    <t>Ressarcimento - Complemento Piso Enfermagem</t>
  </si>
  <si>
    <t>Balancete</t>
  </si>
  <si>
    <t>Extratos</t>
  </si>
  <si>
    <t>Saldo Conta Corrente</t>
  </si>
  <si>
    <t>Saldo Conta Aplicação</t>
  </si>
  <si>
    <t>Saldo Conta Aplicação CDB</t>
  </si>
  <si>
    <t>Caixinha</t>
  </si>
  <si>
    <t>Atual</t>
  </si>
  <si>
    <t>141 - H EXTRA 60% - MA</t>
  </si>
  <si>
    <t>142 - H EXTRA 80% - MA</t>
  </si>
  <si>
    <t>177 - H EXT FER M A N</t>
  </si>
  <si>
    <t>A11 - COMP.RETRO.PIS</t>
  </si>
  <si>
    <t>A12 - COMP.PISO ENFE</t>
  </si>
  <si>
    <t>Saldo Conta Corrente Nova</t>
  </si>
  <si>
    <t>Saldo Conta Aplicação Nova</t>
  </si>
  <si>
    <t>A13 - COMP.PISO ENFE</t>
  </si>
  <si>
    <t>CAC Guarulhos - Período: De 01 até 01/2025</t>
  </si>
  <si>
    <t>2.552.197,26 C</t>
  </si>
  <si>
    <t>Saldo Acumulado 2025</t>
  </si>
  <si>
    <t xml:space="preserve">        3.456.175,89 D</t>
  </si>
  <si>
    <t>EVENTOS FOLHA 12/2024</t>
  </si>
  <si>
    <t>PISO ENFERMAGEM FOLHA 12/2024</t>
  </si>
  <si>
    <t>Outras Despesas: Despesas Movimento Fundo Fixo R$ 121,41; Desp com Aluguéis R$ 13.995,08; Desp com Lubrificantes R$ 34,10 e NTO R$ 1.0283.89,98.</t>
  </si>
  <si>
    <t>CAC Guarulhos - Período: 02/2025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</si>
  <si>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</si>
  <si>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</si>
  <si>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</si>
  <si>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</si>
  <si>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</si>
  <si>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</si>
  <si>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</si>
  <si>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</si>
  <si>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</si>
  <si>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</si>
  <si>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</si>
  <si>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</si>
  <si>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CAC Guarulhos - Período: 2025</t>
  </si>
  <si>
    <t>FEV</t>
  </si>
  <si>
    <t>EVENTOS FOLHA 01/2025</t>
  </si>
  <si>
    <t>PISO ENFERMAGEM FOLHA 01/2025</t>
  </si>
  <si>
    <t xml:space="preserve">        3.669.612,23 D</t>
  </si>
  <si>
    <t xml:space="preserve">  1.117.414,97 D</t>
  </si>
  <si>
    <t xml:space="preserve">        7.125.788,12 D</t>
  </si>
  <si>
    <t>RECEITA</t>
  </si>
  <si>
    <t>Outras Despesas: Despesas Movimento Fundo Fixo R$ 239,98; Desp com Aluguéis R$ 13.995,08; Desp com Lubrificantes R$ 529,51; Desp Gerais com Veiculos R$ 488,70 e NTO R$ 945.809,58.</t>
  </si>
  <si>
    <t>CAC Guarulhos - Período: 03/2025</t>
  </si>
  <si>
    <t>PISO ENFERMAGEM FOLHA 02/2025</t>
  </si>
  <si>
    <t>EVENTOS FOLHA 02/2025</t>
  </si>
  <si>
    <t xml:space="preserve">       359.386,15 D</t>
  </si>
  <si>
    <t>1.476.801,12 D</t>
  </si>
  <si>
    <t xml:space="preserve">  7.485.174,27 D</t>
  </si>
  <si>
    <t>MAR</t>
  </si>
  <si>
    <t>CAC Guarulhos - Período: 04/2025</t>
  </si>
  <si>
    <t>ABR</t>
  </si>
  <si>
    <t>EVENTOS FOLHA 03/2025</t>
  </si>
  <si>
    <t>PISO ENFERMAGEM FOLHA 03/2025</t>
  </si>
  <si>
    <t xml:space="preserve">        1.119.652,67 D</t>
  </si>
  <si>
    <t xml:space="preserve">        8.604.826,94 D</t>
  </si>
  <si>
    <t xml:space="preserve">        2.596.453,79 D</t>
  </si>
  <si>
    <t>Saldo Conta Aplicação Nova CDB</t>
  </si>
  <si>
    <t>Outras Despesas: Despesas Movimento Fundo Fixo R$ 938,40; Desp com Aluguéis R$ 13.995,08; Desp com Lubrificantes R$ 248,87 e NTO R$ 1.038.921,43.</t>
  </si>
  <si>
    <t>ESTORNOS / REEMBOLSOS DE DESPESAS</t>
  </si>
  <si>
    <t>Outras Despesas: Despesas Movimento Fundo Fixo R$ 793,05; Desp com Aluguéis R$ 13.995,08; Desp com Lubrificantes R$ 115,32 e NTO R$ 937.806,40.</t>
  </si>
  <si>
    <t>Data: 05/02/2024 16:28</t>
  </si>
  <si>
    <t>CAC Guarulhos - Período: 05/2025</t>
  </si>
  <si>
    <t>153.765,60 D</t>
  </si>
  <si>
    <t>2.750.219,39 D</t>
  </si>
  <si>
    <t xml:space="preserve"> 8.758.592,54 D</t>
  </si>
  <si>
    <t>EVENTOS FOLHA 04/2025</t>
  </si>
  <si>
    <t>PISO ENFERMAGEM FOLHA 04/2025</t>
  </si>
  <si>
    <t>MAI</t>
  </si>
  <si>
    <t>Outras Despesas: Despesas Movimento Fundo Fixo R$ 912,39; Desp com Aluguéis R$ 13.995,08; Desp com Lubrificantes R$ 100,44 e NTO R$ 1.588.615,32.</t>
  </si>
  <si>
    <t>CAC Guarulhos - Período: 06/2025</t>
  </si>
  <si>
    <t>JUN</t>
  </si>
  <si>
    <t>EVENTOS FOLHA 05/2025</t>
  </si>
  <si>
    <t>PISO ENFERMAGEM FOLHA 05/2025</t>
  </si>
  <si>
    <t xml:space="preserve">          935.858,52 D</t>
  </si>
  <si>
    <t xml:space="preserve">  3.686.077,91 D</t>
  </si>
  <si>
    <t xml:space="preserve">        9.694.451,06 D</t>
  </si>
  <si>
    <t xml:space="preserve">VERBA DE ENFERMAGEM DISPONÍVEL R$ 1.863,27 </t>
  </si>
  <si>
    <t>Outras Despesas: Despesas Movimento Fundo Fixo R$ 155,95; Desp com Aluguéis R$ 14.020,54; Desp com Lubrificantes R$ 83,70 e NTO R$ 1.065.145,18.</t>
  </si>
  <si>
    <t>CAC Guarulhos - Período: 07/2025</t>
  </si>
  <si>
    <t>EVENTOS FOLHA 06/2025</t>
  </si>
  <si>
    <t xml:space="preserve">     121.939,20 C</t>
  </si>
  <si>
    <t xml:space="preserve">  3.564.138,71 D</t>
  </si>
  <si>
    <t>9.572.511,86 D</t>
  </si>
  <si>
    <t>JUL</t>
  </si>
  <si>
    <t>Outras Receitas: Estornos / Reembolso de Desp de Fornecedor R$ 4.207,50. Outras Despesas: Despesas Movimento Fundo Fixo R$ 463,30; Desp com Aluguéis R$ 13.995,08; Desp com Lubrificantes R$ 192,24 e NTO R$ 1.251.570,14.</t>
  </si>
  <si>
    <t>CAC Guarulhos - Período: 08/2025</t>
  </si>
  <si>
    <t>EVENTOS FOLHA 07/2025</t>
  </si>
  <si>
    <t>770.519,45 D</t>
  </si>
  <si>
    <t xml:space="preserve">        4.334.658,16 D</t>
  </si>
  <si>
    <t xml:space="preserve">       10.343.031,31 D</t>
  </si>
  <si>
    <t>AGO</t>
  </si>
  <si>
    <t>Outras Despesas: Despesas Movimento Fundo Fixo R$ 566,18; Desp com Aluguéis R$ 26.995,08; Desp com Lubrificantes R$ 74,62 e NTO R$ 1.353.640,48.</t>
  </si>
  <si>
    <t>CAC Guarulhos - Período: 09/2025</t>
  </si>
  <si>
    <t>SET</t>
  </si>
  <si>
    <t xml:space="preserve">        1.143.812,99 D</t>
  </si>
  <si>
    <t xml:space="preserve">        5.478.471,15 D</t>
  </si>
  <si>
    <t xml:space="preserve">       11.486.844,30 D</t>
  </si>
  <si>
    <t>EVENTOS FOLHA 08/2025</t>
  </si>
  <si>
    <t>Outras Despesas: Despesas Movimento Fundo Fixo R$ 627,49; Desp com Aluguéis R$ 14.295,54; e NTO R$ 1.297.336,56.</t>
  </si>
  <si>
    <t>CAC Guarulhos - Período: 10/2025</t>
  </si>
  <si>
    <t>OUT</t>
  </si>
  <si>
    <t>572.241,89 D</t>
  </si>
  <si>
    <t xml:space="preserve">      6.050.713,04 D</t>
  </si>
  <si>
    <t>12.059.086,19 D</t>
  </si>
  <si>
    <t>EVENTOS FOLHA 09/2025</t>
  </si>
  <si>
    <t>Outras Despesas: Despesas Movimento Fundo Fixo R$ 188,55; Desp com Lubrificantes R$ 61,40; Desp Deslocamento R$ 1.595,36; Desp Com Viagem R$ 800,00; Desp com Aluguéis R$ 14.409,54 e NTO R$ 1.416.186,00.</t>
  </si>
  <si>
    <t>CAC Guarulhos - Período: 11/2025</t>
  </si>
  <si>
    <t>NOV</t>
  </si>
  <si>
    <t xml:space="preserve">        2.985.559,85 C</t>
  </si>
  <si>
    <t xml:space="preserve">        3.065.153,19 D</t>
  </si>
  <si>
    <t xml:space="preserve">        9.073.526,34 D</t>
  </si>
  <si>
    <t>EVENTOS FOLHA 10/2025</t>
  </si>
  <si>
    <t>-</t>
  </si>
  <si>
    <t>Outras Receitas: Estornos / Reembolso de Desp de Fornecedor R$ 5.494,22. Outras Despesas: Despesas Movimento Fundo Fixo R$ 775,27; Desp com Aluguéis R$ 14.409,52 e NTO R$ 1.362.778,99.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</si>
</sst>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 Light"/>
      <family val="2"/>
      <scheme val="major"/>
    </font>
    <font>
      <b/>
      <sz val="8"/>
      <color rgb="FF69696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 Light"/>
      <family val="2"/>
      <scheme val="major"/>
    </font>
    <font>
      <sz val="10"/>
      <name val="Calibri"/>
      <family val="2"/>
      <scheme val="minor"/>
    </font>
    <font>
      <sz val="8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FFFFFF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9" fillId="0" borderId="10" xfId="0" applyFont="1" applyBorder="1"/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 indent="1"/>
    </xf>
    <xf numFmtId="0" fontId="20" fillId="0" borderId="11" xfId="0" applyFont="1" applyBorder="1" applyAlignment="1">
      <alignment horizontal="left" wrapText="1"/>
    </xf>
    <xf numFmtId="43" fontId="20" fillId="0" borderId="11" xfId="1" applyFont="1" applyBorder="1" applyAlignment="1">
      <alignment horizontal="right" wrapText="1"/>
    </xf>
    <xf numFmtId="43" fontId="21" fillId="0" borderId="11" xfId="1" applyFont="1" applyBorder="1" applyAlignment="1">
      <alignment horizontal="right" wrapText="1"/>
    </xf>
    <xf numFmtId="0" fontId="22" fillId="0" borderId="0" xfId="0" applyFont="1"/>
    <xf numFmtId="43" fontId="22" fillId="0" borderId="0" xfId="1" applyFont="1"/>
    <xf numFmtId="43" fontId="20" fillId="0" borderId="11" xfId="1" applyFont="1" applyBorder="1" applyAlignment="1">
      <alignment horizontal="center" wrapText="1"/>
    </xf>
    <xf numFmtId="0" fontId="22" fillId="0" borderId="0" xfId="0" applyFont="1" applyAlignment="1">
      <alignment vertical="justify" wrapText="1"/>
    </xf>
    <xf numFmtId="43" fontId="22" fillId="0" borderId="0" xfId="0" applyNumberFormat="1" applyFont="1"/>
    <xf numFmtId="43" fontId="20" fillId="0" borderId="0" xfId="0" applyNumberFormat="1" applyFont="1"/>
    <xf numFmtId="43" fontId="23" fillId="33" borderId="15" xfId="1" applyFont="1" applyFill="1" applyBorder="1"/>
    <xf numFmtId="43" fontId="23" fillId="33" borderId="16" xfId="1" applyFont="1" applyFill="1" applyBorder="1" applyAlignment="1">
      <alignment horizontal="left"/>
    </xf>
    <xf numFmtId="43" fontId="23" fillId="33" borderId="16" xfId="1" applyFont="1" applyFill="1" applyBorder="1"/>
    <xf numFmtId="43" fontId="23" fillId="33" borderId="15" xfId="1" applyFont="1" applyFill="1" applyBorder="1" applyAlignment="1">
      <alignment horizontal="center"/>
    </xf>
    <xf numFmtId="43" fontId="20" fillId="0" borderId="0" xfId="1" applyFont="1"/>
    <xf numFmtId="0" fontId="22" fillId="0" borderId="0" xfId="0" applyFont="1" applyAlignment="1">
      <alignment horizontal="left"/>
    </xf>
    <xf numFmtId="43" fontId="22" fillId="0" borderId="0" xfId="1" applyFont="1" applyFill="1"/>
    <xf numFmtId="43" fontId="25" fillId="0" borderId="0" xfId="1" applyFont="1" applyAlignment="1">
      <alignment horizontal="right"/>
    </xf>
    <xf numFmtId="43" fontId="23" fillId="33" borderId="15" xfId="1" applyFont="1" applyFill="1" applyBorder="1" applyAlignment="1">
      <alignment horizontal="right"/>
    </xf>
    <xf numFmtId="0" fontId="22" fillId="0" borderId="0" xfId="0" applyFont="1" applyAlignment="1">
      <alignment horizontal="justify" vertical="justify" wrapText="1"/>
    </xf>
    <xf numFmtId="0" fontId="22" fillId="0" borderId="0" xfId="0" applyFont="1" applyAlignment="1">
      <alignment horizontal="center"/>
    </xf>
    <xf numFmtId="43" fontId="26" fillId="0" borderId="0" xfId="1" applyFont="1" applyFill="1"/>
    <xf numFmtId="0" fontId="24" fillId="0" borderId="0" xfId="0" applyFont="1" applyAlignment="1">
      <alignment horizontal="left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2" fillId="0" borderId="0" xfId="1" applyFont="1" applyFill="1" applyBorder="1"/>
    <xf numFmtId="43" fontId="20" fillId="0" borderId="0" xfId="1" applyFont="1" applyFill="1" applyBorder="1"/>
    <xf numFmtId="0" fontId="20" fillId="0" borderId="0" xfId="0" applyFont="1" applyAlignment="1">
      <alignment vertical="justify" wrapText="1"/>
    </xf>
    <xf numFmtId="0" fontId="27" fillId="0" borderId="0" xfId="0" applyFont="1"/>
    <xf numFmtId="43" fontId="23" fillId="0" borderId="0" xfId="1" applyFont="1" applyFill="1"/>
    <xf numFmtId="43" fontId="23" fillId="0" borderId="0" xfId="0" applyNumberFormat="1" applyFont="1"/>
    <xf numFmtId="43" fontId="21" fillId="0" borderId="0" xfId="0" applyNumberFormat="1" applyFont="1"/>
    <xf numFmtId="43" fontId="22" fillId="0" borderId="0" xfId="1" applyFont="1" applyFill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3" fontId="22" fillId="0" borderId="0" xfId="1" applyFont="1" applyAlignment="1">
      <alignment horizontal="left"/>
    </xf>
    <xf numFmtId="164" fontId="27" fillId="0" borderId="0" xfId="1" applyNumberFormat="1" applyFont="1"/>
    <xf numFmtId="43" fontId="20" fillId="0" borderId="0" xfId="1" applyFont="1" applyFill="1"/>
    <xf numFmtId="43" fontId="27" fillId="0" borderId="0" xfId="1" applyFont="1" applyFill="1"/>
    <xf numFmtId="43" fontId="23" fillId="0" borderId="0" xfId="1" applyFont="1" applyFill="1" applyAlignment="1">
      <alignment horizontal="center"/>
    </xf>
    <xf numFmtId="43" fontId="21" fillId="0" borderId="0" xfId="1" applyFont="1"/>
    <xf numFmtId="43" fontId="20" fillId="0" borderId="0" xfId="0" applyNumberFormat="1" applyFont="1" applyAlignment="1">
      <alignment vertical="justify" wrapText="1"/>
    </xf>
    <xf numFmtId="0" fontId="20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center"/>
    </xf>
    <xf numFmtId="43" fontId="23" fillId="33" borderId="0" xfId="1" applyFont="1" applyFill="1" applyBorder="1" applyAlignment="1">
      <alignment horizontal="center"/>
    </xf>
    <xf numFmtId="43" fontId="23" fillId="33" borderId="0" xfId="1" applyFont="1" applyFill="1" applyBorder="1"/>
    <xf numFmtId="164" fontId="27" fillId="0" borderId="0" xfId="1" applyNumberFormat="1" applyFont="1" applyFill="1"/>
    <xf numFmtId="43" fontId="23" fillId="33" borderId="15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justify" vertical="justify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14" xfId="0" applyFont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justify" vertical="justify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%20Fluxo%20de%20Caixa%20CAC%20Guarulhos%202024.xlsx" TargetMode="External"/><Relationship Id="rId1" Type="http://schemas.openxmlformats.org/officeDocument/2006/relationships/externalLinkPath" Target="/Contabilidade/AreaComum/Administracao/Adriana%20Contabil/2024/2024%20CAC%20Guarulhos/13.Relat&#243;rios/Dem%20Fluxo%20de%20Caixa%20CAC%20Guarulh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9">
          <cell r="B59">
            <v>6008373.150000006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116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2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[1]Dez!$B$59</f>
        <v>6008373.150000006</v>
      </c>
      <c r="F8" s="18" t="s">
        <v>107</v>
      </c>
      <c r="G8" s="21" t="s">
        <v>55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72</v>
      </c>
      <c r="G9" s="13">
        <v>28049.239999999998</v>
      </c>
      <c r="H9" s="36">
        <v>7</v>
      </c>
      <c r="I9" s="33"/>
      <c r="J9" s="18" t="s">
        <v>70</v>
      </c>
      <c r="K9" s="26" t="s">
        <v>117</v>
      </c>
    </row>
    <row r="10" spans="1:11" ht="12.95" customHeight="1" thickBot="1" x14ac:dyDescent="0.25">
      <c r="A10" s="4" t="s">
        <v>6</v>
      </c>
      <c r="B10" s="10"/>
      <c r="C10" s="2">
        <v>1</v>
      </c>
      <c r="F10" s="23" t="s">
        <v>73</v>
      </c>
      <c r="G10" s="13">
        <v>-377349.65</v>
      </c>
      <c r="H10" s="36">
        <v>15</v>
      </c>
      <c r="I10" s="33"/>
      <c r="J10" s="18" t="s">
        <v>118</v>
      </c>
      <c r="K10" s="26" t="s">
        <v>117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74</v>
      </c>
      <c r="G11" s="13">
        <v>-141252.72</v>
      </c>
      <c r="H11" s="36">
        <v>16</v>
      </c>
      <c r="I11" s="33"/>
      <c r="J11" s="18" t="s">
        <v>71</v>
      </c>
      <c r="K11" s="26" t="s">
        <v>119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75</v>
      </c>
      <c r="G12" s="13">
        <v>-156220.89000000001</v>
      </c>
      <c r="H12" s="36">
        <v>18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86</v>
      </c>
      <c r="G13" s="13">
        <v>-12825.49</v>
      </c>
      <c r="H13" s="36">
        <v>19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76</v>
      </c>
      <c r="G14" s="13">
        <v>-22978.62</v>
      </c>
      <c r="H14" s="36">
        <v>20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3">
        <v>-110026.31000000001</v>
      </c>
      <c r="H15" s="36">
        <v>21</v>
      </c>
      <c r="I15" s="33"/>
      <c r="J15" s="18" t="s">
        <v>104</v>
      </c>
      <c r="K15" s="26">
        <v>174.94</v>
      </c>
    </row>
    <row r="16" spans="1:11" ht="12.95" customHeight="1" thickBot="1" x14ac:dyDescent="0.25">
      <c r="A16" s="4" t="s">
        <v>7</v>
      </c>
      <c r="B16" s="10">
        <v>28049.24</v>
      </c>
      <c r="C16" s="2">
        <v>7</v>
      </c>
      <c r="F16" s="23" t="s">
        <v>78</v>
      </c>
      <c r="G16" s="13">
        <v>-28881.069999999996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3">
        <v>-187481.23000000004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3">
        <v>-430737.89999999991</v>
      </c>
      <c r="H18" s="36">
        <v>28</v>
      </c>
      <c r="I18" s="33"/>
      <c r="J18" s="18" t="s">
        <v>114</v>
      </c>
      <c r="K18" s="26">
        <v>3455122.36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3">
        <v>-57496.700000000004</v>
      </c>
      <c r="H19" s="36">
        <v>30</v>
      </c>
      <c r="I19" s="33"/>
      <c r="J19" s="18" t="s">
        <v>106</v>
      </c>
      <c r="K19" s="26">
        <v>878.59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3">
        <v>-1653.41</v>
      </c>
      <c r="H20" s="36">
        <v>31</v>
      </c>
      <c r="I20" s="33"/>
      <c r="J20" s="30"/>
      <c r="K20" s="26">
        <f>SUM(K14:K19)</f>
        <v>3456175.8899999997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3">
        <v>-9142.02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3">
        <v>-788.72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3">
        <v>-871.2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28049.24</v>
      </c>
      <c r="F24" s="23" t="s">
        <v>85</v>
      </c>
      <c r="G24" s="13">
        <v>-1042540.57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-2552197.2599999998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820653.68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377349.65-B29-B35</f>
        <v>312378.21000000002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141252.72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62392.1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156220.89-9753.59</f>
        <v>146467.30000000002</v>
      </c>
      <c r="C30" s="2">
        <v>18</v>
      </c>
    </row>
    <row r="31" spans="1:11" ht="12.95" customHeight="1" thickBot="1" x14ac:dyDescent="0.25">
      <c r="A31" s="8" t="s">
        <v>16</v>
      </c>
      <c r="B31" s="10">
        <v>12825.49</v>
      </c>
      <c r="C31" s="2">
        <v>19</v>
      </c>
    </row>
    <row r="32" spans="1:11" ht="12.95" customHeight="1" thickBot="1" x14ac:dyDescent="0.25">
      <c r="A32" s="8" t="s">
        <v>17</v>
      </c>
      <c r="B32" s="10">
        <f>22978.62+2526.44</f>
        <v>25505.059999999998</v>
      </c>
      <c r="C32" s="2">
        <v>20</v>
      </c>
    </row>
    <row r="33" spans="1:11" ht="12.95" customHeight="1" thickBot="1" x14ac:dyDescent="0.25">
      <c r="A33" s="8" t="s">
        <v>18</v>
      </c>
      <c r="B33" s="10">
        <f>110026.31+7227.15</f>
        <v>117253.45999999999</v>
      </c>
      <c r="C33" s="2">
        <v>21</v>
      </c>
      <c r="F33" s="56" t="s">
        <v>120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3443.32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2579.34</v>
      </c>
      <c r="C35" s="2">
        <v>23</v>
      </c>
      <c r="F35" s="12" t="s">
        <v>58</v>
      </c>
      <c r="G35" s="24">
        <v>3783.83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>
        <v>1560.58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216362.30000000002</v>
      </c>
      <c r="F37" s="12" t="s">
        <v>60</v>
      </c>
      <c r="G37" s="24">
        <v>965.86</v>
      </c>
      <c r="H37" s="12">
        <v>20</v>
      </c>
      <c r="I37" s="12"/>
    </row>
    <row r="38" spans="1:11" ht="12.95" customHeight="1" thickBot="1" x14ac:dyDescent="0.25">
      <c r="A38" s="5" t="s">
        <v>21</v>
      </c>
      <c r="B38" s="11">
        <f>SUM(B39:B40)</f>
        <v>28881.07</v>
      </c>
      <c r="F38" s="12"/>
      <c r="G38" s="38">
        <f>SUM(G34:G37)</f>
        <v>9753.59</v>
      </c>
      <c r="H38" s="12"/>
      <c r="I38" s="12"/>
    </row>
    <row r="39" spans="1:11" ht="12.95" customHeight="1" thickBot="1" x14ac:dyDescent="0.25">
      <c r="A39" s="8" t="s">
        <v>22</v>
      </c>
      <c r="B39" s="10">
        <v>28881.07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12079.93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187481.23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488234.60000000003</v>
      </c>
      <c r="F42" s="23" t="s">
        <v>63</v>
      </c>
      <c r="G42" s="24">
        <v>2221.9699999999998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430737.9</v>
      </c>
      <c r="C43" s="2">
        <v>28</v>
      </c>
      <c r="F43" s="23" t="s">
        <v>64</v>
      </c>
      <c r="G43" s="24">
        <v>2699.97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57496.7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26103.74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18615.169999999998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9142.02</v>
      </c>
      <c r="C50" s="2">
        <v>34</v>
      </c>
      <c r="F50" s="23" t="s">
        <v>69</v>
      </c>
      <c r="G50" s="24">
        <v>671.32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871.2</v>
      </c>
      <c r="C52" s="2">
        <v>36</v>
      </c>
      <c r="F52" s="13"/>
      <c r="G52" s="37">
        <f>SUM(G40:G51)</f>
        <v>62392.1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121</v>
      </c>
      <c r="G55" s="56"/>
      <c r="H55" s="56"/>
    </row>
    <row r="56" spans="1:9" ht="12.95" customHeight="1" thickBot="1" x14ac:dyDescent="0.25">
      <c r="A56" s="9" t="s">
        <v>39</v>
      </c>
      <c r="B56" s="10">
        <v>1042540.57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2580246.5</v>
      </c>
      <c r="F57" s="23" t="s">
        <v>112</v>
      </c>
      <c r="G57" s="24">
        <v>2579.34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-2552197.2599999998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3456175.8900000062</v>
      </c>
      <c r="G59" s="39">
        <f>SUM(G56:G58)</f>
        <v>2579.34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Janeiro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174.94+3455122.36</f>
        <v>3455297.3</v>
      </c>
    </row>
    <row r="66" spans="1:7" ht="12.95" customHeight="1" thickBot="1" x14ac:dyDescent="0.25">
      <c r="A66" s="4" t="s">
        <v>46</v>
      </c>
      <c r="B66" s="10">
        <v>878.59</v>
      </c>
    </row>
    <row r="67" spans="1:7" ht="12.95" customHeight="1" thickBot="1" x14ac:dyDescent="0.25">
      <c r="A67" s="5" t="s">
        <v>47</v>
      </c>
      <c r="B67" s="11">
        <f>SUM(B64:B66)</f>
        <v>3456175.8899999997</v>
      </c>
      <c r="C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Janeiro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3456175.8899999997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3456175.8899999997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122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Janeiro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7">
    <sortCondition ref="H9:H27"/>
  </sortState>
  <mergeCells count="15">
    <mergeCell ref="J8:K8"/>
    <mergeCell ref="J13:K13"/>
    <mergeCell ref="F55:H55"/>
    <mergeCell ref="C77:F79"/>
    <mergeCell ref="A1:E1"/>
    <mergeCell ref="A2:E2"/>
    <mergeCell ref="A3:E3"/>
    <mergeCell ref="A6:A7"/>
    <mergeCell ref="A62:A63"/>
    <mergeCell ref="A61:E61"/>
    <mergeCell ref="A76:E76"/>
    <mergeCell ref="C6:C7"/>
    <mergeCell ref="A70:A71"/>
    <mergeCell ref="A69:E69"/>
    <mergeCell ref="F33:H3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  <ignoredErrors>
    <ignoredError sqref="B38 B4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4BF7-113A-43BE-ADF3-4A5DEC030ED0}">
  <sheetPr>
    <pageSetUpPr fitToPage="1"/>
  </sheetPr>
  <dimension ref="A1:L84"/>
  <sheetViews>
    <sheetView showGridLines="0" topLeftCell="A70" zoomScaleNormal="10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6"/>
      <c r="E1" s="6"/>
    </row>
    <row r="2" spans="1:12" ht="12.95" customHeight="1" x14ac:dyDescent="0.2">
      <c r="A2" s="59" t="s">
        <v>0</v>
      </c>
      <c r="B2" s="59"/>
      <c r="C2" s="59"/>
      <c r="D2" s="42"/>
      <c r="E2" s="42"/>
    </row>
    <row r="3" spans="1:12" ht="12.95" customHeight="1" thickBot="1" x14ac:dyDescent="0.25">
      <c r="A3" s="59" t="s">
        <v>202</v>
      </c>
      <c r="B3" s="59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132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Setembro!B59</f>
        <v>11486844.300000006</v>
      </c>
      <c r="F8" s="18" t="s">
        <v>107</v>
      </c>
      <c r="G8" s="21" t="s">
        <v>203</v>
      </c>
      <c r="H8" s="21" t="s">
        <v>54</v>
      </c>
      <c r="I8" s="31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23" t="s">
        <v>143</v>
      </c>
      <c r="G9" s="16">
        <v>3447523.02</v>
      </c>
      <c r="H9" s="44">
        <v>1</v>
      </c>
      <c r="I9" s="54"/>
      <c r="J9" s="33"/>
      <c r="K9" s="18" t="s">
        <v>70</v>
      </c>
      <c r="L9" s="26" t="s">
        <v>204</v>
      </c>
    </row>
    <row r="10" spans="1:12" ht="12.95" customHeight="1" thickBot="1" x14ac:dyDescent="0.25">
      <c r="A10" s="4" t="s">
        <v>6</v>
      </c>
      <c r="B10" s="10">
        <v>3447523.02</v>
      </c>
      <c r="C10" s="2">
        <v>1</v>
      </c>
      <c r="F10" s="23" t="s">
        <v>72</v>
      </c>
      <c r="G10" s="16">
        <v>138213.57999999999</v>
      </c>
      <c r="H10" s="44">
        <v>7</v>
      </c>
      <c r="I10" s="54"/>
      <c r="J10" s="33"/>
      <c r="K10" s="18" t="s">
        <v>118</v>
      </c>
      <c r="L10" s="26" t="s">
        <v>205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10.44</v>
      </c>
      <c r="H11" s="44">
        <v>13</v>
      </c>
      <c r="I11" s="54"/>
      <c r="J11" s="33"/>
      <c r="K11" s="18" t="s">
        <v>71</v>
      </c>
      <c r="L11" s="26" t="s">
        <v>206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-353725.85000000003</v>
      </c>
      <c r="H12" s="44">
        <v>15</v>
      </c>
      <c r="I12" s="5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-185288.07000000004</v>
      </c>
      <c r="H13" s="44">
        <v>16</v>
      </c>
      <c r="I13" s="54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-123141.67</v>
      </c>
      <c r="H14" s="44">
        <v>18</v>
      </c>
      <c r="I14" s="54"/>
      <c r="J14" s="33"/>
      <c r="K14" s="18" t="s">
        <v>114</v>
      </c>
      <c r="L14" s="26">
        <v>4327515.49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-415.92</v>
      </c>
      <c r="H15" s="44">
        <v>19</v>
      </c>
      <c r="I15" s="54"/>
      <c r="J15" s="33"/>
      <c r="K15" s="18" t="s">
        <v>159</v>
      </c>
      <c r="L15" s="26">
        <v>7731386.7400000002</v>
      </c>
    </row>
    <row r="16" spans="1:12" ht="12.95" customHeight="1" thickBot="1" x14ac:dyDescent="0.25">
      <c r="A16" s="4" t="s">
        <v>7</v>
      </c>
      <c r="B16" s="10">
        <v>138213.57999999999</v>
      </c>
      <c r="C16" s="2">
        <v>7</v>
      </c>
      <c r="F16" s="23" t="s">
        <v>77</v>
      </c>
      <c r="G16" s="16">
        <v>-64549.87000000001</v>
      </c>
      <c r="H16" s="44">
        <v>21</v>
      </c>
      <c r="I16" s="54"/>
      <c r="J16" s="33"/>
      <c r="K16" s="18" t="s">
        <v>106</v>
      </c>
      <c r="L16" s="26">
        <v>183.96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-32163.08</v>
      </c>
      <c r="H17" s="44">
        <v>25</v>
      </c>
      <c r="I17" s="54"/>
      <c r="J17" s="33"/>
      <c r="K17" s="30"/>
      <c r="L17" s="26">
        <f>SUM(L14:L16)</f>
        <v>12059086.190000001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-251367.21</v>
      </c>
      <c r="H18" s="44">
        <v>27</v>
      </c>
      <c r="I18" s="5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-500644.45000000013</v>
      </c>
      <c r="H19" s="44">
        <v>28</v>
      </c>
      <c r="I19" s="5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-58991.049999999996</v>
      </c>
      <c r="H20" s="44">
        <v>30</v>
      </c>
      <c r="I20" s="5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-9039.7199999999993</v>
      </c>
      <c r="H21" s="44">
        <v>34</v>
      </c>
      <c r="I21" s="54"/>
      <c r="J21" s="33"/>
    </row>
    <row r="22" spans="1:12" ht="12.95" customHeight="1" thickBot="1" x14ac:dyDescent="0.25">
      <c r="A22" s="4" t="s">
        <v>97</v>
      </c>
      <c r="B22" s="10">
        <v>10.44</v>
      </c>
      <c r="C22" s="2">
        <v>13</v>
      </c>
      <c r="F22" s="23" t="s">
        <v>83</v>
      </c>
      <c r="G22" s="16">
        <v>-908.72</v>
      </c>
      <c r="H22" s="44">
        <v>35</v>
      </c>
      <c r="I22" s="5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-28.690000000000012</v>
      </c>
      <c r="H23" s="44">
        <v>36</v>
      </c>
      <c r="I23" s="54"/>
      <c r="J23" s="33"/>
    </row>
    <row r="24" spans="1:12" ht="12.95" customHeight="1" thickBot="1" x14ac:dyDescent="0.25">
      <c r="A24" s="5" t="s">
        <v>9</v>
      </c>
      <c r="B24" s="11">
        <f>SUM(B10:B23)</f>
        <v>3585747.04</v>
      </c>
      <c r="F24" s="23" t="s">
        <v>85</v>
      </c>
      <c r="G24" s="16">
        <v>-1433240.8499999999</v>
      </c>
      <c r="H24" s="44">
        <v>40</v>
      </c>
      <c r="I24" s="54"/>
      <c r="J24" s="34"/>
    </row>
    <row r="25" spans="1:12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572241.89000000013</v>
      </c>
      <c r="H25" s="20"/>
      <c r="I25" s="32"/>
      <c r="J25" s="33"/>
    </row>
    <row r="26" spans="1:12" ht="12.95" customHeight="1" thickBot="1" x14ac:dyDescent="0.25">
      <c r="A26" s="5" t="s">
        <v>11</v>
      </c>
      <c r="B26" s="11">
        <f>SUM(B27:B36)</f>
        <v>727121.37999999989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353725.85-B29-B35</f>
        <v>326083.45999999996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v>185288.07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27642.390000000003</v>
      </c>
      <c r="C29" s="2">
        <v>17</v>
      </c>
    </row>
    <row r="30" spans="1:12" ht="12.95" customHeight="1" thickBot="1" x14ac:dyDescent="0.25">
      <c r="A30" s="8" t="s">
        <v>15</v>
      </c>
      <c r="B30" s="10">
        <f>123141.67-7047.02</f>
        <v>116094.65</v>
      </c>
      <c r="C30" s="2">
        <v>18</v>
      </c>
    </row>
    <row r="31" spans="1:12" ht="12.95" customHeight="1" thickBot="1" x14ac:dyDescent="0.25">
      <c r="A31" s="8" t="s">
        <v>16</v>
      </c>
      <c r="B31" s="10">
        <v>415.92</v>
      </c>
      <c r="C31" s="2">
        <v>19</v>
      </c>
    </row>
    <row r="32" spans="1:12" ht="12.95" customHeight="1" thickBot="1" x14ac:dyDescent="0.25">
      <c r="A32" s="8" t="s">
        <v>17</v>
      </c>
      <c r="B32" s="10">
        <f>245.57</f>
        <v>245.57</v>
      </c>
      <c r="C32" s="2">
        <v>20</v>
      </c>
      <c r="F32" s="56" t="s">
        <v>207</v>
      </c>
      <c r="G32" s="56"/>
      <c r="H32" s="56"/>
      <c r="I32" s="51"/>
      <c r="J32" s="28"/>
    </row>
    <row r="33" spans="1:12" ht="12.95" customHeight="1" thickBot="1" x14ac:dyDescent="0.25">
      <c r="A33" s="8" t="s">
        <v>18</v>
      </c>
      <c r="B33" s="10">
        <f>64549.87+6801.45</f>
        <v>71351.320000000007</v>
      </c>
      <c r="C33" s="2">
        <v>21</v>
      </c>
      <c r="F33" s="12" t="s">
        <v>57</v>
      </c>
      <c r="G33" s="40">
        <v>4531.17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2270.2800000000002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245.57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283530.28999999998</v>
      </c>
      <c r="F37" s="12"/>
      <c r="G37" s="38">
        <f>SUM(G33:G36)</f>
        <v>7047.02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32163.08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v>32163.08</v>
      </c>
      <c r="C39" s="2">
        <v>25</v>
      </c>
      <c r="F39" s="23" t="s">
        <v>61</v>
      </c>
      <c r="G39" s="24">
        <v>3878.38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v>251367.21</v>
      </c>
      <c r="C41" s="2">
        <v>27</v>
      </c>
      <c r="F41" s="23" t="s">
        <v>63</v>
      </c>
      <c r="G41" s="24">
        <v>2627.81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559635.5</v>
      </c>
      <c r="F42" s="23" t="s">
        <v>64</v>
      </c>
      <c r="G42" s="24">
        <v>2219.46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v>500644.45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58991.05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313.54000000000002</v>
      </c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18603.2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9039.7199999999993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27642.390000000003</v>
      </c>
    </row>
    <row r="52" spans="1:10" ht="12.95" customHeight="1" thickBot="1" x14ac:dyDescent="0.25">
      <c r="A52" s="9" t="s">
        <v>35</v>
      </c>
      <c r="B52" s="10">
        <v>28.69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1433240.85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3013505.15</v>
      </c>
      <c r="F57" s="12"/>
    </row>
    <row r="58" spans="1:10" ht="12.95" customHeight="1" thickBot="1" x14ac:dyDescent="0.25">
      <c r="A58" s="5" t="s">
        <v>41</v>
      </c>
      <c r="B58" s="11">
        <f>B24-B57</f>
        <v>572241.89000000013</v>
      </c>
    </row>
    <row r="59" spans="1:10" ht="12.95" customHeight="1" thickBot="1" x14ac:dyDescent="0.25">
      <c r="A59" s="5" t="s">
        <v>42</v>
      </c>
      <c r="B59" s="11">
        <f>B8+B24-B57</f>
        <v>12059086.190000007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41" t="s">
        <v>43</v>
      </c>
      <c r="B61" s="41"/>
      <c r="C61" s="41"/>
      <c r="D61" s="41"/>
      <c r="E61" s="41"/>
    </row>
    <row r="62" spans="1:10" ht="12.95" customHeight="1" thickBot="1" x14ac:dyDescent="0.25">
      <c r="A62" s="60"/>
      <c r="B62" s="3" t="str">
        <f>B6</f>
        <v>Outubro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4327515.49+7731386.74</f>
        <v>12058902.23</v>
      </c>
    </row>
    <row r="66" spans="1:7" ht="12.95" customHeight="1" thickBot="1" x14ac:dyDescent="0.25">
      <c r="A66" s="4" t="s">
        <v>46</v>
      </c>
      <c r="B66" s="10">
        <v>183.96</v>
      </c>
    </row>
    <row r="67" spans="1:7" ht="12.95" customHeight="1" thickBot="1" x14ac:dyDescent="0.25">
      <c r="A67" s="5" t="s">
        <v>47</v>
      </c>
      <c r="B67" s="11">
        <f>SUM(B64:B66)</f>
        <v>12059086.190000001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Outubro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12059086.190000001</v>
      </c>
      <c r="C73" s="25"/>
    </row>
    <row r="74" spans="1:7" ht="12.95" customHeight="1" thickBot="1" x14ac:dyDescent="0.25">
      <c r="A74" s="5" t="s">
        <v>47</v>
      </c>
      <c r="B74" s="11">
        <f>SUM(B72:B73)</f>
        <v>12059086.190000001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208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Outubro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K8:L8"/>
    <mergeCell ref="A1:C1"/>
    <mergeCell ref="A2:C2"/>
    <mergeCell ref="A3:B3"/>
    <mergeCell ref="A6:A7"/>
    <mergeCell ref="C6:C7"/>
    <mergeCell ref="K13:L13"/>
    <mergeCell ref="F32:H32"/>
    <mergeCell ref="A62:A63"/>
    <mergeCell ref="A70:A71"/>
    <mergeCell ref="C77:D80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5554-D595-4E89-AB36-DC7CB2DEECD9}">
  <sheetPr>
    <tabColor rgb="FF00B050"/>
    <pageSetUpPr fitToPage="1"/>
  </sheetPr>
  <dimension ref="A1:K84"/>
  <sheetViews>
    <sheetView showGridLines="0" tabSelected="1" topLeftCell="A64" zoomScaleNormal="10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209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133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Outubro!B59</f>
        <v>12059086.190000007</v>
      </c>
      <c r="F8" s="18" t="s">
        <v>107</v>
      </c>
      <c r="G8" s="21" t="s">
        <v>210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/>
      <c r="H9" s="44">
        <v>1</v>
      </c>
      <c r="I9" s="54"/>
      <c r="J9" s="18" t="s">
        <v>70</v>
      </c>
      <c r="K9" s="26" t="s">
        <v>211</v>
      </c>
    </row>
    <row r="10" spans="1:11" ht="12.95" customHeight="1" thickBot="1" x14ac:dyDescent="0.25">
      <c r="A10" s="4" t="s">
        <v>6</v>
      </c>
      <c r="B10" s="10"/>
      <c r="C10" s="2">
        <v>1</v>
      </c>
      <c r="F10" s="23" t="s">
        <v>72</v>
      </c>
      <c r="G10" s="16">
        <v>97750.24</v>
      </c>
      <c r="H10" s="44">
        <v>7</v>
      </c>
      <c r="I10" s="54"/>
      <c r="J10" s="18" t="s">
        <v>118</v>
      </c>
      <c r="K10" s="26" t="s">
        <v>212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5494.2199999999993</v>
      </c>
      <c r="H11" s="44">
        <v>13</v>
      </c>
      <c r="I11" s="54"/>
      <c r="J11" s="18" t="s">
        <v>71</v>
      </c>
      <c r="K11" s="26" t="s">
        <v>213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-435760.13</v>
      </c>
      <c r="H12" s="44">
        <v>15</v>
      </c>
      <c r="I12" s="54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-169684.82</v>
      </c>
      <c r="H13" s="44">
        <v>16</v>
      </c>
      <c r="I13" s="54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-148005.25</v>
      </c>
      <c r="H14" s="44">
        <v>18</v>
      </c>
      <c r="I14" s="54"/>
      <c r="J14" s="18" t="s">
        <v>114</v>
      </c>
      <c r="K14" s="26">
        <v>1264053.76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-6625.5700000000006</v>
      </c>
      <c r="H15" s="44">
        <v>19</v>
      </c>
      <c r="I15" s="54"/>
      <c r="J15" s="18" t="s">
        <v>159</v>
      </c>
      <c r="K15" s="26">
        <v>7809247.8499999996</v>
      </c>
    </row>
    <row r="16" spans="1:11" ht="12.95" customHeight="1" thickBot="1" x14ac:dyDescent="0.25">
      <c r="A16" s="4" t="s">
        <v>7</v>
      </c>
      <c r="B16" s="10">
        <v>97750.24</v>
      </c>
      <c r="C16" s="2">
        <v>7</v>
      </c>
      <c r="F16" s="23" t="s">
        <v>76</v>
      </c>
      <c r="G16" s="16">
        <v>-151480.02000000002</v>
      </c>
      <c r="H16" s="44">
        <v>20</v>
      </c>
      <c r="I16" s="54"/>
      <c r="J16" s="18" t="s">
        <v>106</v>
      </c>
      <c r="K16" s="26">
        <v>224.73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77</v>
      </c>
      <c r="G17" s="16">
        <v>-33359.040000000001</v>
      </c>
      <c r="H17" s="44">
        <v>21</v>
      </c>
      <c r="I17" s="54"/>
      <c r="J17" s="30"/>
      <c r="K17" s="26">
        <f>SUM(K14:K16)</f>
        <v>9073526.3399999999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78</v>
      </c>
      <c r="G18" s="16">
        <v>-27171.96</v>
      </c>
      <c r="H18" s="44">
        <v>25</v>
      </c>
      <c r="I18" s="54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79</v>
      </c>
      <c r="G19" s="16">
        <v>-211638.79000000004</v>
      </c>
      <c r="H19" s="44">
        <v>27</v>
      </c>
      <c r="I19" s="54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80</v>
      </c>
      <c r="G20" s="16">
        <v>-473507.76000000018</v>
      </c>
      <c r="H20" s="44">
        <v>28</v>
      </c>
      <c r="I20" s="54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81</v>
      </c>
      <c r="G21" s="16">
        <v>-43901.58</v>
      </c>
      <c r="H21" s="44">
        <v>30</v>
      </c>
      <c r="I21" s="54"/>
    </row>
    <row r="22" spans="1:11" ht="12.95" customHeight="1" thickBot="1" x14ac:dyDescent="0.25">
      <c r="A22" s="4" t="s">
        <v>97</v>
      </c>
      <c r="B22" s="10">
        <v>5494.22</v>
      </c>
      <c r="C22" s="2">
        <v>13</v>
      </c>
      <c r="F22" s="23" t="s">
        <v>82</v>
      </c>
      <c r="G22" s="16">
        <v>-8772.32</v>
      </c>
      <c r="H22" s="44">
        <v>34</v>
      </c>
      <c r="I22" s="54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-908.72</v>
      </c>
      <c r="H23" s="44">
        <v>35</v>
      </c>
      <c r="I23" s="54"/>
    </row>
    <row r="24" spans="1:11" ht="12.95" customHeight="1" thickBot="1" x14ac:dyDescent="0.25">
      <c r="A24" s="5" t="s">
        <v>9</v>
      </c>
      <c r="B24" s="11">
        <f>SUM(B10:B23)</f>
        <v>103244.46</v>
      </c>
      <c r="F24" s="23" t="s">
        <v>84</v>
      </c>
      <c r="G24" s="16">
        <v>-24.570000000000007</v>
      </c>
      <c r="H24" s="44">
        <v>36</v>
      </c>
      <c r="I24" s="5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-1377963.7799999998</v>
      </c>
      <c r="H25" s="44">
        <v>40</v>
      </c>
      <c r="I25" s="32"/>
    </row>
    <row r="26" spans="1:11" ht="12.95" customHeight="1" thickBot="1" x14ac:dyDescent="0.25">
      <c r="A26" s="5" t="s">
        <v>11</v>
      </c>
      <c r="B26" s="11">
        <f>SUM(B27:B36)</f>
        <v>944914.83000000007</v>
      </c>
      <c r="F26" s="19" t="s">
        <v>56</v>
      </c>
      <c r="G26" s="20">
        <f>SUBTOTAL(9,G9:G25)</f>
        <v>-2985559.8500000006</v>
      </c>
      <c r="H26" s="20"/>
      <c r="I26" s="12"/>
    </row>
    <row r="27" spans="1:11" ht="12.95" customHeight="1" thickBot="1" x14ac:dyDescent="0.25">
      <c r="A27" s="8" t="s">
        <v>12</v>
      </c>
      <c r="B27" s="10">
        <f>435760.13-B29</f>
        <v>414164.22000000003</v>
      </c>
      <c r="C27" s="2">
        <v>15</v>
      </c>
    </row>
    <row r="28" spans="1:11" ht="12.95" customHeight="1" thickBot="1" x14ac:dyDescent="0.25">
      <c r="A28" s="8" t="s">
        <v>13</v>
      </c>
      <c r="B28" s="10">
        <v>169684.82</v>
      </c>
      <c r="C28" s="2">
        <v>16</v>
      </c>
    </row>
    <row r="29" spans="1:11" ht="12.95" customHeight="1" thickBot="1" x14ac:dyDescent="0.25">
      <c r="A29" s="8" t="s">
        <v>14</v>
      </c>
      <c r="B29" s="10">
        <v>21595.91</v>
      </c>
      <c r="C29" s="2">
        <v>17</v>
      </c>
    </row>
    <row r="30" spans="1:11" ht="12.95" customHeight="1" thickBot="1" x14ac:dyDescent="0.25">
      <c r="A30" s="8" t="s">
        <v>15</v>
      </c>
      <c r="B30" s="10">
        <f>148005.25-8955.73</f>
        <v>139049.51999999999</v>
      </c>
      <c r="C30" s="2">
        <v>18</v>
      </c>
    </row>
    <row r="31" spans="1:11" ht="12.95" customHeight="1" thickBot="1" x14ac:dyDescent="0.25">
      <c r="A31" s="8" t="s">
        <v>16</v>
      </c>
      <c r="B31" s="10">
        <v>6625.57</v>
      </c>
      <c r="C31" s="2">
        <v>19</v>
      </c>
    </row>
    <row r="32" spans="1:11" ht="12.95" customHeight="1" thickBot="1" x14ac:dyDescent="0.25">
      <c r="A32" s="8" t="s">
        <v>17</v>
      </c>
      <c r="B32" s="10">
        <f>151480.02+37.35</f>
        <v>151517.37</v>
      </c>
      <c r="C32" s="2">
        <v>20</v>
      </c>
      <c r="F32" s="56" t="s">
        <v>214</v>
      </c>
      <c r="G32" s="56"/>
      <c r="H32" s="56"/>
      <c r="I32" s="51"/>
    </row>
    <row r="33" spans="1:11" ht="12.95" customHeight="1" thickBot="1" x14ac:dyDescent="0.25">
      <c r="A33" s="8" t="s">
        <v>18</v>
      </c>
      <c r="B33" s="10">
        <f>33359.04+3232.17+5686.21</f>
        <v>42277.42</v>
      </c>
      <c r="C33" s="2">
        <v>21</v>
      </c>
      <c r="F33" s="12" t="s">
        <v>57</v>
      </c>
      <c r="G33" s="40">
        <v>3232.17</v>
      </c>
      <c r="H33" s="12">
        <v>21</v>
      </c>
      <c r="I33" s="12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5686.21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37.35</v>
      </c>
      <c r="H36" s="12">
        <v>20</v>
      </c>
      <c r="I36" s="12"/>
    </row>
    <row r="37" spans="1:11" ht="12.95" customHeight="1" thickBot="1" x14ac:dyDescent="0.25">
      <c r="A37" s="5" t="s">
        <v>20</v>
      </c>
      <c r="B37" s="11">
        <f>B38+B41</f>
        <v>238810.75</v>
      </c>
      <c r="F37" s="12"/>
      <c r="G37" s="38">
        <f>SUM(G33:G36)</f>
        <v>8955.7300000000014</v>
      </c>
      <c r="H37" s="12"/>
      <c r="I37" s="12"/>
    </row>
    <row r="38" spans="1:11" ht="12.95" customHeight="1" thickBot="1" x14ac:dyDescent="0.25">
      <c r="A38" s="5" t="s">
        <v>21</v>
      </c>
      <c r="B38" s="11">
        <f>SUM(B39:B40)</f>
        <v>27171.96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27171.96</v>
      </c>
      <c r="C39" s="2">
        <v>25</v>
      </c>
      <c r="F39" s="23" t="s">
        <v>61</v>
      </c>
      <c r="G39" s="24">
        <v>2787.25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>
        <v>0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211638.79</v>
      </c>
      <c r="C41" s="2">
        <v>27</v>
      </c>
      <c r="F41" s="23" t="s">
        <v>63</v>
      </c>
      <c r="G41" s="24">
        <v>1316.66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517409.34</v>
      </c>
      <c r="F42" s="23" t="s">
        <v>64</v>
      </c>
      <c r="G42" s="24">
        <v>713.56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473507.76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43901.58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8718.5300000000007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7938.73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121.18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8772.32</v>
      </c>
      <c r="C50" s="2">
        <v>34</v>
      </c>
      <c r="F50" s="23" t="s">
        <v>110</v>
      </c>
      <c r="G50" s="24">
        <v>0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21595.91</v>
      </c>
    </row>
    <row r="52" spans="1:9" ht="12.95" customHeight="1" thickBot="1" x14ac:dyDescent="0.25">
      <c r="A52" s="9" t="s">
        <v>35</v>
      </c>
      <c r="B52" s="10">
        <v>24.57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1377963.78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3088804.3100000005</v>
      </c>
      <c r="F57" s="12"/>
    </row>
    <row r="58" spans="1:9" ht="12.95" customHeight="1" thickBot="1" x14ac:dyDescent="0.25">
      <c r="A58" s="5" t="s">
        <v>41</v>
      </c>
      <c r="B58" s="11">
        <f>B24-B57</f>
        <v>-2985559.8500000006</v>
      </c>
    </row>
    <row r="59" spans="1:9" ht="12.95" customHeight="1" thickBot="1" x14ac:dyDescent="0.25">
      <c r="A59" s="5" t="s">
        <v>42</v>
      </c>
      <c r="B59" s="11">
        <f>B8+B24-B57</f>
        <v>9073526.3400000073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0"/>
      <c r="B62" s="3" t="str">
        <f>B6</f>
        <v>Novembro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v>9073301.6099999994</v>
      </c>
    </row>
    <row r="66" spans="1:7" ht="12.95" customHeight="1" thickBot="1" x14ac:dyDescent="0.25">
      <c r="A66" s="4" t="s">
        <v>46</v>
      </c>
      <c r="B66" s="10">
        <v>224.73</v>
      </c>
    </row>
    <row r="67" spans="1:7" ht="12.95" customHeight="1" thickBot="1" x14ac:dyDescent="0.25">
      <c r="A67" s="5" t="s">
        <v>47</v>
      </c>
      <c r="B67" s="11">
        <f>SUM(B64:B66)</f>
        <v>9073526.3399999999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Novembro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9073526.3399999999</v>
      </c>
      <c r="C73" s="25"/>
    </row>
    <row r="74" spans="1:7" ht="12.95" customHeight="1" thickBot="1" x14ac:dyDescent="0.25">
      <c r="A74" s="5" t="s">
        <v>47</v>
      </c>
      <c r="B74" s="11">
        <f>SUM(B72:B73)</f>
        <v>9073526.3399999999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67" t="s">
        <v>216</v>
      </c>
      <c r="D77" s="6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Novembro</v>
      </c>
      <c r="C78" s="67"/>
      <c r="D78" s="67"/>
      <c r="E78" s="50"/>
      <c r="F78" s="50"/>
    </row>
    <row r="79" spans="1:7" ht="12.95" customHeight="1" x14ac:dyDescent="0.2">
      <c r="A79" s="6"/>
      <c r="C79" s="67"/>
      <c r="D79" s="67"/>
      <c r="E79" s="50"/>
      <c r="F79" s="35"/>
    </row>
    <row r="80" spans="1:7" ht="12.95" customHeight="1" x14ac:dyDescent="0.2">
      <c r="C80" s="67"/>
      <c r="D80" s="67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D84" s="2" t="s">
        <v>215</v>
      </c>
      <c r="E84" s="17"/>
    </row>
  </sheetData>
  <mergeCells count="11">
    <mergeCell ref="J13:K13"/>
    <mergeCell ref="F32:H32"/>
    <mergeCell ref="A62:A63"/>
    <mergeCell ref="A70:A71"/>
    <mergeCell ref="C77:D80"/>
    <mergeCell ref="A1:C1"/>
    <mergeCell ref="A2:C2"/>
    <mergeCell ref="A3:B3"/>
    <mergeCell ref="A6:A7"/>
    <mergeCell ref="C6:C7"/>
    <mergeCell ref="J8:K8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07A3-9C9E-499D-9DAA-2B3EC291587E}">
  <sheetPr>
    <tabColor rgb="FF00B050"/>
  </sheetPr>
  <dimension ref="A1:Q77"/>
  <sheetViews>
    <sheetView showGridLines="0" topLeftCell="B1" workbookViewId="0">
      <selection activeCell="L22" sqref="L22"/>
    </sheetView>
  </sheetViews>
  <sheetFormatPr defaultRowHeight="11.25" x14ac:dyDescent="0.2"/>
  <cols>
    <col min="1" max="1" width="41.5703125" style="2" bestFit="1" customWidth="1"/>
    <col min="2" max="3" width="12.5703125" style="2" bestFit="1" customWidth="1"/>
    <col min="4" max="8" width="12.5703125" style="2" customWidth="1"/>
    <col min="9" max="10" width="13.7109375" style="2" bestFit="1" customWidth="1"/>
    <col min="11" max="11" width="13.42578125" style="2" customWidth="1"/>
    <col min="12" max="12" width="15.85546875" style="2" customWidth="1"/>
    <col min="13" max="13" width="7.5703125" style="2" hidden="1" customWidth="1"/>
    <col min="14" max="14" width="13.7109375" style="2" bestFit="1" customWidth="1"/>
    <col min="15" max="16" width="3.28515625" style="2" bestFit="1" customWidth="1"/>
    <col min="17" max="17" width="10.85546875" style="2" bestFit="1" customWidth="1"/>
    <col min="18" max="19" width="9.140625" style="2"/>
    <col min="20" max="20" width="12.140625" style="2" bestFit="1" customWidth="1"/>
    <col min="21" max="16384" width="9.140625" style="2"/>
  </cols>
  <sheetData>
    <row r="1" spans="1:16" ht="12.95" customHeight="1" x14ac:dyDescent="0.2">
      <c r="A1" s="58" t="s">
        <v>163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6"/>
      <c r="P1" s="6"/>
    </row>
    <row r="2" spans="1:16" ht="12.9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2"/>
      <c r="P2" s="42"/>
    </row>
    <row r="3" spans="1:16" ht="12.95" customHeight="1" x14ac:dyDescent="0.2">
      <c r="A3" s="59" t="s">
        <v>136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2"/>
      <c r="P3" s="42"/>
    </row>
    <row r="4" spans="1:16" ht="12.95" customHeight="1" x14ac:dyDescent="0.2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12.95" customHeight="1" thickBot="1" x14ac:dyDescent="0.25"/>
    <row r="6" spans="1:16" ht="12.95" customHeight="1" thickBot="1" x14ac:dyDescent="0.25">
      <c r="A6" s="60"/>
      <c r="B6" s="3" t="s">
        <v>2</v>
      </c>
      <c r="C6" s="3" t="s">
        <v>124</v>
      </c>
      <c r="D6" s="3" t="s">
        <v>125</v>
      </c>
      <c r="E6" s="3" t="s">
        <v>126</v>
      </c>
      <c r="F6" s="3" t="s">
        <v>127</v>
      </c>
      <c r="G6" s="3" t="s">
        <v>128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134</v>
      </c>
      <c r="N6" s="3" t="s">
        <v>135</v>
      </c>
      <c r="O6" s="63" t="s">
        <v>54</v>
      </c>
    </row>
    <row r="7" spans="1:16" ht="12.95" customHeight="1" thickBot="1" x14ac:dyDescent="0.25">
      <c r="A7" s="61"/>
      <c r="B7" s="3" t="s">
        <v>3</v>
      </c>
      <c r="C7" s="3" t="s">
        <v>3</v>
      </c>
      <c r="D7" s="3" t="s">
        <v>3</v>
      </c>
      <c r="E7" s="3" t="s">
        <v>3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3</v>
      </c>
      <c r="L7" s="3" t="s">
        <v>3</v>
      </c>
      <c r="M7" s="3" t="s">
        <v>3</v>
      </c>
      <c r="N7" s="3" t="s">
        <v>3</v>
      </c>
      <c r="O7" s="63"/>
    </row>
    <row r="8" spans="1:16" ht="12.95" customHeight="1" thickBot="1" x14ac:dyDescent="0.25">
      <c r="A8" s="4" t="s">
        <v>4</v>
      </c>
      <c r="B8" s="11">
        <f>Jan!B8</f>
        <v>6008373.150000006</v>
      </c>
      <c r="C8" s="11">
        <f>Fev!B8</f>
        <v>3456175.8900000062</v>
      </c>
      <c r="D8" s="11">
        <f>Mar!B8</f>
        <v>7125788.1200000057</v>
      </c>
      <c r="E8" s="11">
        <f>Abr!B8</f>
        <v>7485174.2700000051</v>
      </c>
      <c r="F8" s="11">
        <f>Mai!B8</f>
        <v>8604826.9400000051</v>
      </c>
      <c r="G8" s="11">
        <f>Jun!B8</f>
        <v>8758592.5400000047</v>
      </c>
      <c r="H8" s="11">
        <f>Jul!B8</f>
        <v>9694451.0600000061</v>
      </c>
      <c r="I8" s="11">
        <f>Agosto!B8</f>
        <v>9572511.860000005</v>
      </c>
      <c r="J8" s="11">
        <f>Setembro!B8</f>
        <v>10343031.310000006</v>
      </c>
      <c r="K8" s="11">
        <f>Outubro!B8</f>
        <v>11486844.300000006</v>
      </c>
      <c r="L8" s="11">
        <f>Novembro!B8</f>
        <v>12059086.190000007</v>
      </c>
      <c r="M8" s="11"/>
      <c r="N8" s="11"/>
    </row>
    <row r="9" spans="1:16" ht="12.95" customHeight="1" thickBot="1" x14ac:dyDescent="0.25">
      <c r="A9" s="7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6" ht="12.95" customHeight="1" thickBot="1" x14ac:dyDescent="0.25">
      <c r="A10" s="4" t="s">
        <v>6</v>
      </c>
      <c r="B10" s="10">
        <f>Jan!B10</f>
        <v>0</v>
      </c>
      <c r="C10" s="10">
        <f>Fev!B10</f>
        <v>5867328.96</v>
      </c>
      <c r="D10" s="10">
        <f>Mar!B10</f>
        <v>2687856.15</v>
      </c>
      <c r="E10" s="10">
        <f>Abr!B10</f>
        <v>3230360.92</v>
      </c>
      <c r="F10" s="10">
        <f>Mai!B10</f>
        <v>3260330.45</v>
      </c>
      <c r="G10" s="10">
        <f>Jun!B10</f>
        <v>3490808.31</v>
      </c>
      <c r="H10" s="10">
        <f>Jul!B10</f>
        <v>2806661.42</v>
      </c>
      <c r="I10" s="10">
        <f>Agosto!B10</f>
        <v>3496430.99</v>
      </c>
      <c r="J10" s="10">
        <f>Setembro!B10</f>
        <v>3606513.17</v>
      </c>
      <c r="K10" s="10">
        <f>Outubro!B10</f>
        <v>3447523.02</v>
      </c>
      <c r="L10" s="10">
        <f>Novembro!B10</f>
        <v>0</v>
      </c>
      <c r="M10" s="10"/>
      <c r="N10" s="10">
        <f>SUM(B10:M10)</f>
        <v>31893813.390000004</v>
      </c>
      <c r="O10" s="2">
        <v>1</v>
      </c>
    </row>
    <row r="11" spans="1:16" ht="12.95" customHeight="1" thickBot="1" x14ac:dyDescent="0.25">
      <c r="A11" s="4" t="s">
        <v>88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">
        <v>2</v>
      </c>
    </row>
    <row r="12" spans="1:16" ht="12.95" customHeight="1" thickBot="1" x14ac:dyDescent="0.25">
      <c r="A12" s="4" t="s">
        <v>89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">
        <v>3</v>
      </c>
    </row>
    <row r="13" spans="1:16" ht="12.95" customHeight="1" thickBot="1" x14ac:dyDescent="0.25">
      <c r="A13" s="4" t="s">
        <v>90</v>
      </c>
      <c r="B13" s="10">
        <f>Jan!B13</f>
        <v>0</v>
      </c>
      <c r="C13" s="10">
        <f>Fev!B13</f>
        <v>0</v>
      </c>
      <c r="D13" s="10">
        <f>Mar!B13</f>
        <v>0</v>
      </c>
      <c r="E13" s="10">
        <f>Abr!B13</f>
        <v>0</v>
      </c>
      <c r="F13" s="10">
        <f>Mai!B13</f>
        <v>0</v>
      </c>
      <c r="G13" s="11">
        <f>Jun!B13</f>
        <v>0</v>
      </c>
      <c r="H13" s="10"/>
      <c r="I13" s="10"/>
      <c r="J13" s="10"/>
      <c r="K13" s="10"/>
      <c r="L13" s="10"/>
      <c r="M13" s="10"/>
      <c r="N13" s="10">
        <f>SUM(B13:M13)</f>
        <v>0</v>
      </c>
      <c r="O13" s="2">
        <v>4</v>
      </c>
    </row>
    <row r="14" spans="1:16" ht="12.95" customHeight="1" thickBot="1" x14ac:dyDescent="0.25">
      <c r="A14" s="4" t="s">
        <v>91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">
        <v>5</v>
      </c>
    </row>
    <row r="15" spans="1:16" ht="12.95" customHeight="1" thickBot="1" x14ac:dyDescent="0.25">
      <c r="A15" s="4" t="s">
        <v>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">
        <v>6</v>
      </c>
    </row>
    <row r="16" spans="1:16" ht="12.95" customHeight="1" thickBot="1" x14ac:dyDescent="0.25">
      <c r="A16" s="4" t="s">
        <v>7</v>
      </c>
      <c r="B16" s="10">
        <f>Jan!B16</f>
        <v>28049.24</v>
      </c>
      <c r="C16" s="10">
        <f>Fev!B16</f>
        <v>42702.559999999998</v>
      </c>
      <c r="D16" s="10">
        <f>Mar!B16</f>
        <v>60921.65</v>
      </c>
      <c r="E16" s="10">
        <f>Abr!B16</f>
        <v>78750.759999999995</v>
      </c>
      <c r="F16" s="10">
        <f>Mai!B16</f>
        <v>94201.5</v>
      </c>
      <c r="G16" s="10">
        <f>Jun!B16</f>
        <v>99758.49</v>
      </c>
      <c r="H16" s="10">
        <f>Jul!B16</f>
        <v>122287.52</v>
      </c>
      <c r="I16" s="10">
        <f>Agosto!B16</f>
        <v>109851.84</v>
      </c>
      <c r="J16" s="10">
        <f>Setembro!B16</f>
        <v>125276.56</v>
      </c>
      <c r="K16" s="10">
        <f>Outubro!B16</f>
        <v>138213.57999999999</v>
      </c>
      <c r="L16" s="10">
        <f>Novembro!B16</f>
        <v>97750.24</v>
      </c>
      <c r="M16" s="10"/>
      <c r="N16" s="10">
        <f>SUM(B16:M16)</f>
        <v>997763.93999999983</v>
      </c>
      <c r="O16" s="2">
        <v>7</v>
      </c>
    </row>
    <row r="17" spans="1:15" ht="12.95" customHeight="1" thickBot="1" x14ac:dyDescent="0.25">
      <c r="A17" s="4" t="s">
        <v>93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">
        <v>8</v>
      </c>
    </row>
    <row r="18" spans="1:15" ht="12.95" customHeight="1" thickBot="1" x14ac:dyDescent="0.25">
      <c r="A18" s="4" t="s">
        <v>94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">
        <v>9</v>
      </c>
    </row>
    <row r="19" spans="1:15" ht="12.95" customHeight="1" thickBot="1" x14ac:dyDescent="0.25">
      <c r="A19" s="4" t="s">
        <v>95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">
        <v>10</v>
      </c>
    </row>
    <row r="20" spans="1:15" ht="12.95" customHeight="1" thickBot="1" x14ac:dyDescent="0.25">
      <c r="A20" s="4" t="s">
        <v>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">
        <v>11</v>
      </c>
    </row>
    <row r="21" spans="1:15" ht="12.95" customHeight="1" thickBot="1" x14ac:dyDescent="0.25">
      <c r="A21" s="4" t="s">
        <v>96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">
        <v>12</v>
      </c>
    </row>
    <row r="22" spans="1:15" ht="12.95" customHeight="1" thickBot="1" x14ac:dyDescent="0.25">
      <c r="A22" s="4" t="s">
        <v>97</v>
      </c>
      <c r="B22" s="10">
        <f>Jan!B22</f>
        <v>0</v>
      </c>
      <c r="C22" s="10">
        <f>Fev!B22</f>
        <v>0</v>
      </c>
      <c r="D22" s="10">
        <f>Mar!B22</f>
        <v>0</v>
      </c>
      <c r="E22" s="10">
        <f>Abr!B22</f>
        <v>13.49</v>
      </c>
      <c r="F22" s="10">
        <f>Mai!B22</f>
        <v>0</v>
      </c>
      <c r="G22" s="11">
        <f>Jun!B22</f>
        <v>0</v>
      </c>
      <c r="H22" s="10">
        <f>Jul!B22</f>
        <v>4207.5</v>
      </c>
      <c r="I22" s="10"/>
      <c r="J22" s="10">
        <f>Setembro!B22</f>
        <v>0</v>
      </c>
      <c r="K22" s="10">
        <f>Outubro!B22</f>
        <v>10.44</v>
      </c>
      <c r="L22" s="10">
        <f>Novembro!B22</f>
        <v>5494.22</v>
      </c>
      <c r="M22" s="10">
        <f>Agosto!B22</f>
        <v>0</v>
      </c>
      <c r="N22" s="10">
        <f>SUM(B22:M22)</f>
        <v>9725.65</v>
      </c>
      <c r="O22" s="2">
        <v>13</v>
      </c>
    </row>
    <row r="23" spans="1:15" ht="12.95" customHeight="1" thickBot="1" x14ac:dyDescent="0.25">
      <c r="A23" s="4" t="s">
        <v>98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f>SUM(B23:M23)</f>
        <v>0</v>
      </c>
      <c r="O23" s="2">
        <v>14</v>
      </c>
    </row>
    <row r="24" spans="1:15" ht="12.95" customHeight="1" thickBot="1" x14ac:dyDescent="0.25">
      <c r="A24" s="5" t="s">
        <v>9</v>
      </c>
      <c r="B24" s="11">
        <f t="shared" ref="B24:H24" si="0">SUM(B10:B23)</f>
        <v>28049.24</v>
      </c>
      <c r="C24" s="11">
        <f t="shared" si="0"/>
        <v>5910031.5199999996</v>
      </c>
      <c r="D24" s="11">
        <f t="shared" si="0"/>
        <v>2748777.8</v>
      </c>
      <c r="E24" s="11">
        <f t="shared" si="0"/>
        <v>3309125.17</v>
      </c>
      <c r="F24" s="11">
        <f t="shared" si="0"/>
        <v>3354531.95</v>
      </c>
      <c r="G24" s="11">
        <f t="shared" si="0"/>
        <v>3590566.8000000003</v>
      </c>
      <c r="H24" s="11">
        <f t="shared" si="0"/>
        <v>2933156.44</v>
      </c>
      <c r="I24" s="11">
        <f t="shared" ref="I24:M24" si="1">SUM(I10:I23)</f>
        <v>3606282.83</v>
      </c>
      <c r="J24" s="11">
        <f t="shared" si="1"/>
        <v>3731789.73</v>
      </c>
      <c r="K24" s="11">
        <f t="shared" si="1"/>
        <v>3585747.04</v>
      </c>
      <c r="L24" s="11">
        <f t="shared" si="1"/>
        <v>103244.46</v>
      </c>
      <c r="M24" s="11">
        <f t="shared" si="1"/>
        <v>0</v>
      </c>
      <c r="N24" s="11">
        <f>SUM(N10:N23)</f>
        <v>32901302.980000004</v>
      </c>
    </row>
    <row r="25" spans="1:15" ht="12.95" customHeight="1" thickBot="1" x14ac:dyDescent="0.25">
      <c r="A25" s="7" t="s">
        <v>10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5" ht="12.95" customHeight="1" thickBot="1" x14ac:dyDescent="0.25">
      <c r="A26" s="5" t="s">
        <v>11</v>
      </c>
      <c r="B26" s="11">
        <f t="shared" ref="B26:H26" si="2">SUM(B27:B36)</f>
        <v>820653.68</v>
      </c>
      <c r="C26" s="11">
        <f t="shared" si="2"/>
        <v>672451.33</v>
      </c>
      <c r="D26" s="11">
        <f t="shared" si="2"/>
        <v>629519.65</v>
      </c>
      <c r="E26" s="11">
        <f t="shared" si="2"/>
        <v>642216.39</v>
      </c>
      <c r="F26" s="11">
        <f t="shared" si="2"/>
        <v>629178.04000000015</v>
      </c>
      <c r="G26" s="11">
        <f t="shared" si="2"/>
        <v>683429.58</v>
      </c>
      <c r="H26" s="11">
        <f t="shared" si="2"/>
        <v>693597.64</v>
      </c>
      <c r="I26" s="11">
        <f t="shared" ref="I26:M26" si="3">SUM(I27:I36)</f>
        <v>670071.21</v>
      </c>
      <c r="J26" s="11">
        <f t="shared" si="3"/>
        <v>658062.96</v>
      </c>
      <c r="K26" s="11">
        <f t="shared" si="3"/>
        <v>727121.37999999989</v>
      </c>
      <c r="L26" s="11">
        <f t="shared" si="3"/>
        <v>944914.83000000007</v>
      </c>
      <c r="M26" s="11">
        <f t="shared" si="3"/>
        <v>0</v>
      </c>
      <c r="N26" s="11">
        <f>SUM(N27:N36)</f>
        <v>7771216.6900000004</v>
      </c>
    </row>
    <row r="27" spans="1:15" ht="12.95" customHeight="1" thickBot="1" x14ac:dyDescent="0.25">
      <c r="A27" s="8" t="s">
        <v>12</v>
      </c>
      <c r="B27" s="10">
        <f>Jan!B27</f>
        <v>312378.21000000002</v>
      </c>
      <c r="C27" s="10">
        <f>Fev!B27</f>
        <v>294239.46999999997</v>
      </c>
      <c r="D27" s="10">
        <f>Mar!B27</f>
        <v>293461.70999999996</v>
      </c>
      <c r="E27" s="10">
        <f>Abr!B27</f>
        <v>295875.86</v>
      </c>
      <c r="F27" s="10">
        <f>Mai!B27</f>
        <v>318663.12999999995</v>
      </c>
      <c r="G27" s="10">
        <f>Jun!B27</f>
        <v>309198.28999999998</v>
      </c>
      <c r="H27" s="10">
        <f>Jul!B27</f>
        <v>317143.82</v>
      </c>
      <c r="I27" s="10">
        <f>Agosto!B27</f>
        <v>320016.15999999997</v>
      </c>
      <c r="J27" s="10">
        <f>Setembro!B27</f>
        <v>346773.41</v>
      </c>
      <c r="K27" s="10">
        <f>Outubro!B27</f>
        <v>326083.45999999996</v>
      </c>
      <c r="L27" s="10">
        <f>Novembro!B27</f>
        <v>414164.22000000003</v>
      </c>
      <c r="M27" s="10"/>
      <c r="N27" s="10">
        <f t="shared" ref="N27:N35" si="4">SUM(B27:M27)</f>
        <v>3547997.74</v>
      </c>
      <c r="O27" s="2">
        <v>15</v>
      </c>
    </row>
    <row r="28" spans="1:15" ht="12.95" customHeight="1" thickBot="1" x14ac:dyDescent="0.25">
      <c r="A28" s="8" t="s">
        <v>13</v>
      </c>
      <c r="B28" s="10">
        <f>Jan!B28</f>
        <v>141252.72</v>
      </c>
      <c r="C28" s="10">
        <f>Fev!B28</f>
        <v>141831.17000000001</v>
      </c>
      <c r="D28" s="10">
        <f>Mar!B28</f>
        <v>145899.26</v>
      </c>
      <c r="E28" s="10">
        <f>Abr!B28</f>
        <v>162100.01</v>
      </c>
      <c r="F28" s="10">
        <f>Mai!B28</f>
        <v>151439.07999999999</v>
      </c>
      <c r="G28" s="10">
        <f>Jun!B28</f>
        <v>155171.60999999999</v>
      </c>
      <c r="H28" s="10">
        <f>Jul!B28</f>
        <v>152925.1</v>
      </c>
      <c r="I28" s="10">
        <f>Agosto!B28</f>
        <v>147498.74</v>
      </c>
      <c r="J28" s="10">
        <f>Setembro!B28</f>
        <v>162951.03</v>
      </c>
      <c r="K28" s="10">
        <f>Outubro!B28</f>
        <v>185288.07</v>
      </c>
      <c r="L28" s="10">
        <f>Novembro!B28</f>
        <v>169684.82</v>
      </c>
      <c r="M28" s="10"/>
      <c r="N28" s="10">
        <f t="shared" si="4"/>
        <v>1716041.61</v>
      </c>
      <c r="O28" s="2">
        <v>16</v>
      </c>
    </row>
    <row r="29" spans="1:15" ht="12.95" customHeight="1" thickBot="1" x14ac:dyDescent="0.25">
      <c r="A29" s="8" t="s">
        <v>14</v>
      </c>
      <c r="B29" s="10">
        <f>Jan!B29</f>
        <v>62392.1</v>
      </c>
      <c r="C29" s="10">
        <f>Fev!B29</f>
        <v>31628.79</v>
      </c>
      <c r="D29" s="10">
        <f>Mar!B29</f>
        <v>27743.190000000002</v>
      </c>
      <c r="E29" s="10">
        <f>Abr!B29</f>
        <v>19939.989999999998</v>
      </c>
      <c r="F29" s="10">
        <f>Mai!B29</f>
        <v>17758.27</v>
      </c>
      <c r="G29" s="10">
        <f>Jun!B29</f>
        <v>35550.449999999997</v>
      </c>
      <c r="H29" s="10">
        <f>Jul!B29</f>
        <v>30212.67</v>
      </c>
      <c r="I29" s="10">
        <f>Agosto!B29</f>
        <v>27330.649999999998</v>
      </c>
      <c r="J29" s="10">
        <f>Setembro!B29</f>
        <v>0</v>
      </c>
      <c r="K29" s="10">
        <f>Outubro!B29</f>
        <v>27642.390000000003</v>
      </c>
      <c r="L29" s="10">
        <f>Novembro!B29</f>
        <v>21595.91</v>
      </c>
      <c r="M29" s="10"/>
      <c r="N29" s="10">
        <f t="shared" si="4"/>
        <v>301794.40999999992</v>
      </c>
      <c r="O29" s="2">
        <v>17</v>
      </c>
    </row>
    <row r="30" spans="1:15" ht="12.95" customHeight="1" thickBot="1" x14ac:dyDescent="0.25">
      <c r="A30" s="8" t="s">
        <v>15</v>
      </c>
      <c r="B30" s="10">
        <f>Jan!B30</f>
        <v>146467.30000000002</v>
      </c>
      <c r="C30" s="10">
        <f>Fev!B30</f>
        <v>120838.45000000001</v>
      </c>
      <c r="D30" s="10">
        <f>Mar!B30</f>
        <v>108027.28</v>
      </c>
      <c r="E30" s="10">
        <f>Abr!B30</f>
        <v>101586.89</v>
      </c>
      <c r="F30" s="10">
        <f>Mai!B30</f>
        <v>112877.15999999999</v>
      </c>
      <c r="G30" s="10">
        <f>Jun!B30</f>
        <v>108500.49</v>
      </c>
      <c r="H30" s="10">
        <f>Jul!B30</f>
        <v>114079.33</v>
      </c>
      <c r="I30" s="10">
        <f>Agosto!B30</f>
        <v>116166.37999999999</v>
      </c>
      <c r="J30" s="10">
        <f>Setembro!B30</f>
        <v>114623.19</v>
      </c>
      <c r="K30" s="10">
        <f>Outubro!B30</f>
        <v>116094.65</v>
      </c>
      <c r="L30" s="10">
        <f>Novembro!B30</f>
        <v>139049.51999999999</v>
      </c>
      <c r="M30" s="10"/>
      <c r="N30" s="10">
        <f t="shared" si="4"/>
        <v>1298310.6399999999</v>
      </c>
      <c r="O30" s="2">
        <v>18</v>
      </c>
    </row>
    <row r="31" spans="1:15" ht="12.95" customHeight="1" thickBot="1" x14ac:dyDescent="0.25">
      <c r="A31" s="8" t="s">
        <v>16</v>
      </c>
      <c r="B31" s="10">
        <f>Jan!B31</f>
        <v>12825.49</v>
      </c>
      <c r="C31" s="10">
        <f>Fev!B31</f>
        <v>0</v>
      </c>
      <c r="D31" s="10">
        <f>Mar!B31</f>
        <v>11155.27</v>
      </c>
      <c r="E31" s="10">
        <f>Abr!B31</f>
        <v>14740.28</v>
      </c>
      <c r="F31" s="10">
        <f>Mai!B31</f>
        <v>0</v>
      </c>
      <c r="G31" s="10">
        <f>Jun!B31</f>
        <v>3840.98</v>
      </c>
      <c r="H31" s="10">
        <f>Jul!B31</f>
        <v>12711.86</v>
      </c>
      <c r="I31" s="10">
        <f>Agosto!B31</f>
        <v>8772.11</v>
      </c>
      <c r="J31" s="10">
        <f>Setembro!B31</f>
        <v>1953.56</v>
      </c>
      <c r="K31" s="10">
        <f>Outubro!B31</f>
        <v>415.92</v>
      </c>
      <c r="L31" s="10">
        <f>Novembro!B31</f>
        <v>6625.57</v>
      </c>
      <c r="M31" s="10"/>
      <c r="N31" s="10">
        <f t="shared" si="4"/>
        <v>73041.040000000008</v>
      </c>
      <c r="O31" s="2">
        <v>19</v>
      </c>
    </row>
    <row r="32" spans="1:15" ht="12.95" customHeight="1" thickBot="1" x14ac:dyDescent="0.25">
      <c r="A32" s="8" t="s">
        <v>17</v>
      </c>
      <c r="B32" s="10">
        <f>Jan!B32</f>
        <v>25505.059999999998</v>
      </c>
      <c r="C32" s="10">
        <f>Fev!B32</f>
        <v>28.27</v>
      </c>
      <c r="D32" s="10">
        <f>Mar!B32</f>
        <v>0</v>
      </c>
      <c r="E32" s="10">
        <f>Abr!B32</f>
        <v>102.97</v>
      </c>
      <c r="F32" s="10">
        <f>Mai!B32</f>
        <v>86.81</v>
      </c>
      <c r="G32" s="10">
        <f>Jun!B32</f>
        <v>0</v>
      </c>
      <c r="H32" s="10">
        <f>Jul!B32</f>
        <v>54.53</v>
      </c>
      <c r="I32" s="10">
        <f>Agosto!B32</f>
        <v>223.27</v>
      </c>
      <c r="J32" s="10">
        <f>Setembro!B32</f>
        <v>322.31</v>
      </c>
      <c r="K32" s="10">
        <f>Outubro!B32</f>
        <v>245.57</v>
      </c>
      <c r="L32" s="10">
        <f>Novembro!B32</f>
        <v>151517.37</v>
      </c>
      <c r="M32" s="10"/>
      <c r="N32" s="10">
        <f t="shared" si="4"/>
        <v>178086.16</v>
      </c>
      <c r="O32" s="2">
        <v>20</v>
      </c>
    </row>
    <row r="33" spans="1:15" ht="12.95" customHeight="1" thickBot="1" x14ac:dyDescent="0.25">
      <c r="A33" s="8" t="s">
        <v>18</v>
      </c>
      <c r="B33" s="10">
        <f>Jan!B33</f>
        <v>117253.45999999999</v>
      </c>
      <c r="C33" s="10">
        <f>Fev!B33</f>
        <v>81305.84</v>
      </c>
      <c r="D33" s="10">
        <f>Mar!B33</f>
        <v>40911.660000000003</v>
      </c>
      <c r="E33" s="10">
        <f>Abr!B33</f>
        <v>45549.11</v>
      </c>
      <c r="F33" s="10">
        <f>Mai!B33</f>
        <v>26032.31</v>
      </c>
      <c r="G33" s="10">
        <f>Jun!B33</f>
        <v>69304.490000000005</v>
      </c>
      <c r="H33" s="10">
        <f>Jul!B33</f>
        <v>66470.33</v>
      </c>
      <c r="I33" s="10">
        <f>Agosto!B33</f>
        <v>50063.9</v>
      </c>
      <c r="J33" s="10">
        <f>Setembro!B33</f>
        <v>31439.46</v>
      </c>
      <c r="K33" s="10">
        <f>Outubro!B33</f>
        <v>71351.320000000007</v>
      </c>
      <c r="L33" s="10">
        <f>Novembro!B33</f>
        <v>42277.42</v>
      </c>
      <c r="M33" s="10"/>
      <c r="N33" s="10">
        <f t="shared" si="4"/>
        <v>641959.30000000016</v>
      </c>
      <c r="O33" s="2">
        <v>21</v>
      </c>
    </row>
    <row r="34" spans="1:15" ht="12.95" customHeight="1" thickBot="1" x14ac:dyDescent="0.25">
      <c r="A34" s="8" t="s">
        <v>19</v>
      </c>
      <c r="B34" s="10">
        <f>Jan!B34</f>
        <v>0</v>
      </c>
      <c r="C34" s="10">
        <f>Fev!B34</f>
        <v>0</v>
      </c>
      <c r="D34" s="10">
        <f>Mar!B34</f>
        <v>0</v>
      </c>
      <c r="E34" s="10">
        <f>Abr!B34</f>
        <v>0</v>
      </c>
      <c r="F34" s="10">
        <f>Mai!B34</f>
        <v>0</v>
      </c>
      <c r="G34" s="10">
        <f>Jun!B34</f>
        <v>0</v>
      </c>
      <c r="H34" s="10"/>
      <c r="I34" s="10"/>
      <c r="J34" s="10"/>
      <c r="K34" s="10"/>
      <c r="L34" s="10"/>
      <c r="M34" s="10"/>
      <c r="N34" s="10">
        <f t="shared" si="4"/>
        <v>0</v>
      </c>
      <c r="O34" s="2">
        <v>22</v>
      </c>
    </row>
    <row r="35" spans="1:15" ht="12.95" customHeight="1" thickBot="1" x14ac:dyDescent="0.25">
      <c r="A35" s="8" t="s">
        <v>99</v>
      </c>
      <c r="B35" s="10">
        <f>Jan!B35</f>
        <v>2579.34</v>
      </c>
      <c r="C35" s="10">
        <f>Fev!B35</f>
        <v>2579.34</v>
      </c>
      <c r="D35" s="10">
        <f>Mar!B35</f>
        <v>2321.2800000000002</v>
      </c>
      <c r="E35" s="10">
        <f>Abr!B35</f>
        <v>2321.2800000000002</v>
      </c>
      <c r="F35" s="10">
        <f>Mai!B35</f>
        <v>2321.2800000000002</v>
      </c>
      <c r="G35" s="10">
        <f>Jun!B35</f>
        <v>1863.27</v>
      </c>
      <c r="H35" s="10"/>
      <c r="I35" s="10"/>
      <c r="J35" s="10"/>
      <c r="K35" s="10"/>
      <c r="L35" s="10"/>
      <c r="M35" s="10"/>
      <c r="N35" s="10">
        <f t="shared" si="4"/>
        <v>13985.790000000003</v>
      </c>
      <c r="O35" s="2">
        <v>23</v>
      </c>
    </row>
    <row r="36" spans="1:15" ht="12.95" customHeight="1" thickBot="1" x14ac:dyDescent="0.25">
      <c r="A36" s="8" t="s">
        <v>100</v>
      </c>
      <c r="B36" s="10">
        <f>Jan!B36</f>
        <v>0</v>
      </c>
      <c r="C36" s="10">
        <f>Fev!B36</f>
        <v>0</v>
      </c>
      <c r="D36" s="10">
        <f>Mar!B36</f>
        <v>0</v>
      </c>
      <c r="E36" s="10">
        <f>Abr!B36</f>
        <v>0</v>
      </c>
      <c r="F36" s="10">
        <f>Mai!B36</f>
        <v>0</v>
      </c>
      <c r="G36" s="10">
        <f>Jun!B36</f>
        <v>0</v>
      </c>
      <c r="H36" s="10"/>
      <c r="I36" s="10"/>
      <c r="J36" s="10"/>
      <c r="K36" s="10"/>
      <c r="L36" s="10"/>
      <c r="M36" s="10"/>
      <c r="N36" s="10">
        <f t="shared" ref="N36" si="5">SUM(B36:M36)</f>
        <v>0</v>
      </c>
      <c r="O36" s="2">
        <v>24</v>
      </c>
    </row>
    <row r="37" spans="1:15" ht="12.95" customHeight="1" thickBot="1" x14ac:dyDescent="0.25">
      <c r="A37" s="5" t="s">
        <v>20</v>
      </c>
      <c r="B37" s="11">
        <f t="shared" ref="B37:G37" si="6">B38+B41</f>
        <v>216362.30000000002</v>
      </c>
      <c r="C37" s="11">
        <f t="shared" si="6"/>
        <v>236361.44</v>
      </c>
      <c r="D37" s="11">
        <f t="shared" si="6"/>
        <v>232706.91</v>
      </c>
      <c r="E37" s="11">
        <f t="shared" si="6"/>
        <v>246454.75</v>
      </c>
      <c r="F37" s="11">
        <f t="shared" si="6"/>
        <v>302462.59000000003</v>
      </c>
      <c r="G37" s="11">
        <f t="shared" si="6"/>
        <v>266015.08999999997</v>
      </c>
      <c r="H37" s="11">
        <f t="shared" ref="H37:M37" si="7">H38+H41</f>
        <v>322413.05</v>
      </c>
      <c r="I37" s="11">
        <f t="shared" si="7"/>
        <v>391099.76</v>
      </c>
      <c r="J37" s="11">
        <f t="shared" si="7"/>
        <v>259528.23</v>
      </c>
      <c r="K37" s="11">
        <f t="shared" si="7"/>
        <v>283530.28999999998</v>
      </c>
      <c r="L37" s="11">
        <f t="shared" si="7"/>
        <v>238810.75</v>
      </c>
      <c r="M37" s="11">
        <f t="shared" si="7"/>
        <v>0</v>
      </c>
      <c r="N37" s="11">
        <f>N38+N41</f>
        <v>2995745.16</v>
      </c>
    </row>
    <row r="38" spans="1:15" ht="12.95" customHeight="1" thickBot="1" x14ac:dyDescent="0.25">
      <c r="A38" s="5" t="s">
        <v>21</v>
      </c>
      <c r="B38" s="11">
        <f t="shared" ref="B38:G38" si="8">SUM(B39:B40)</f>
        <v>28881.07</v>
      </c>
      <c r="C38" s="11">
        <f t="shared" si="8"/>
        <v>27674.5</v>
      </c>
      <c r="D38" s="11">
        <f t="shared" si="8"/>
        <v>33108.74</v>
      </c>
      <c r="E38" s="11">
        <f t="shared" si="8"/>
        <v>50104.78</v>
      </c>
      <c r="F38" s="11">
        <f t="shared" si="8"/>
        <v>37095.129999999997</v>
      </c>
      <c r="G38" s="11">
        <f t="shared" si="8"/>
        <v>41786.57</v>
      </c>
      <c r="H38" s="11">
        <f t="shared" ref="H38:M38" si="9">SUM(H39:H40)</f>
        <v>30100.82</v>
      </c>
      <c r="I38" s="11">
        <f t="shared" si="9"/>
        <v>31882.43</v>
      </c>
      <c r="J38" s="11">
        <f t="shared" si="9"/>
        <v>33278.78</v>
      </c>
      <c r="K38" s="11">
        <f t="shared" si="9"/>
        <v>32163.08</v>
      </c>
      <c r="L38" s="11">
        <f t="shared" si="9"/>
        <v>27171.96</v>
      </c>
      <c r="M38" s="11">
        <f t="shared" si="9"/>
        <v>0</v>
      </c>
      <c r="N38" s="11">
        <f>SUM(N39:N40)</f>
        <v>373247.8600000001</v>
      </c>
    </row>
    <row r="39" spans="1:15" ht="12.95" customHeight="1" thickBot="1" x14ac:dyDescent="0.25">
      <c r="A39" s="8" t="s">
        <v>22</v>
      </c>
      <c r="B39" s="10">
        <f>Jan!B39</f>
        <v>28881.07</v>
      </c>
      <c r="C39" s="10">
        <f>Fev!B39</f>
        <v>27674.5</v>
      </c>
      <c r="D39" s="10">
        <f>Mar!B39</f>
        <v>33108.74</v>
      </c>
      <c r="E39" s="10">
        <f>Abr!B39</f>
        <v>50104.78</v>
      </c>
      <c r="F39" s="10">
        <f>Mai!B39</f>
        <v>37095.129999999997</v>
      </c>
      <c r="G39" s="10">
        <f>Jun!B39</f>
        <v>41786.57</v>
      </c>
      <c r="H39" s="10">
        <f>Jul!B39</f>
        <v>30100.82</v>
      </c>
      <c r="I39" s="10">
        <f>Agosto!B39</f>
        <v>31882.43</v>
      </c>
      <c r="J39" s="10">
        <f>Setembro!B39</f>
        <v>33278.78</v>
      </c>
      <c r="K39" s="10">
        <f>Outubro!B39</f>
        <v>32163.08</v>
      </c>
      <c r="L39" s="10">
        <f>Novembro!B39</f>
        <v>27171.96</v>
      </c>
      <c r="M39" s="10"/>
      <c r="N39" s="10">
        <f>SUM(B39:M39)</f>
        <v>373247.8600000001</v>
      </c>
      <c r="O39" s="2">
        <v>25</v>
      </c>
    </row>
    <row r="40" spans="1:15" ht="12.95" customHeight="1" thickBot="1" x14ac:dyDescent="0.25">
      <c r="A40" s="8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">
        <v>26</v>
      </c>
    </row>
    <row r="41" spans="1:15" ht="12.95" customHeight="1" thickBot="1" x14ac:dyDescent="0.25">
      <c r="A41" s="9" t="s">
        <v>24</v>
      </c>
      <c r="B41" s="10">
        <f>Jan!B41</f>
        <v>187481.23</v>
      </c>
      <c r="C41" s="10">
        <f>Fev!B41</f>
        <v>208686.94</v>
      </c>
      <c r="D41" s="10">
        <f>Mar!B41</f>
        <v>199598.17</v>
      </c>
      <c r="E41" s="10">
        <f>Abr!B41</f>
        <v>196349.97</v>
      </c>
      <c r="F41" s="10">
        <f>Mai!B41</f>
        <v>265367.46000000002</v>
      </c>
      <c r="G41" s="10">
        <f>Jun!B41</f>
        <v>224228.52</v>
      </c>
      <c r="H41" s="10">
        <f>Jul!B41</f>
        <v>292312.23</v>
      </c>
      <c r="I41" s="10">
        <f>Agosto!B41</f>
        <v>359217.33</v>
      </c>
      <c r="J41" s="10">
        <f>Setembro!B41</f>
        <v>226249.45</v>
      </c>
      <c r="K41" s="10">
        <f>Outubro!B41</f>
        <v>251367.21</v>
      </c>
      <c r="L41" s="10">
        <f>Novembro!B41</f>
        <v>211638.79</v>
      </c>
      <c r="M41" s="10"/>
      <c r="N41" s="10">
        <f>SUM(B41:M41)</f>
        <v>2622497.3000000003</v>
      </c>
      <c r="O41" s="2">
        <v>27</v>
      </c>
    </row>
    <row r="42" spans="1:15" ht="12.95" customHeight="1" thickBot="1" x14ac:dyDescent="0.25">
      <c r="A42" s="5" t="s">
        <v>25</v>
      </c>
      <c r="B42" s="11">
        <f t="shared" ref="B42:M42" si="10">SUM(B43:B45)</f>
        <v>488234.60000000003</v>
      </c>
      <c r="C42" s="11">
        <f t="shared" si="10"/>
        <v>355793.51999999996</v>
      </c>
      <c r="D42" s="11">
        <f t="shared" si="10"/>
        <v>461275.9</v>
      </c>
      <c r="E42" s="11">
        <f t="shared" si="10"/>
        <v>331275.45999999996</v>
      </c>
      <c r="F42" s="11">
        <f t="shared" si="10"/>
        <v>652740.94999999995</v>
      </c>
      <c r="G42" s="11">
        <f t="shared" si="10"/>
        <v>613022.94000000006</v>
      </c>
      <c r="H42" s="11">
        <f t="shared" si="10"/>
        <v>764951.41</v>
      </c>
      <c r="I42" s="11">
        <f t="shared" si="10"/>
        <v>384686.72</v>
      </c>
      <c r="J42" s="11">
        <f t="shared" si="10"/>
        <v>348976.11</v>
      </c>
      <c r="K42" s="11">
        <f t="shared" si="10"/>
        <v>559635.5</v>
      </c>
      <c r="L42" s="11">
        <f t="shared" si="10"/>
        <v>517409.34</v>
      </c>
      <c r="M42" s="11">
        <f t="shared" si="10"/>
        <v>0</v>
      </c>
      <c r="N42" s="11">
        <f>SUM(N43:N45)</f>
        <v>5478002.4500000002</v>
      </c>
    </row>
    <row r="43" spans="1:15" ht="12.95" customHeight="1" thickBot="1" x14ac:dyDescent="0.25">
      <c r="A43" s="8" t="s">
        <v>26</v>
      </c>
      <c r="B43" s="10">
        <f>Jan!B43</f>
        <v>430737.9</v>
      </c>
      <c r="C43" s="10">
        <f>Fev!B43</f>
        <v>314508.03999999998</v>
      </c>
      <c r="D43" s="10">
        <f>Mar!B43</f>
        <v>411227.32</v>
      </c>
      <c r="E43" s="10">
        <f>Abr!B43</f>
        <v>292565.49</v>
      </c>
      <c r="F43" s="10">
        <f>Mai!B43</f>
        <v>614328.47</v>
      </c>
      <c r="G43" s="10">
        <f>Jun!B43</f>
        <v>577927.9</v>
      </c>
      <c r="H43" s="10">
        <f>Jul!B43</f>
        <v>734278.54</v>
      </c>
      <c r="I43" s="10">
        <f>Agosto!B43</f>
        <v>350017.91</v>
      </c>
      <c r="J43" s="10">
        <f>Setembro!B43</f>
        <v>320189.94</v>
      </c>
      <c r="K43" s="10">
        <f>Outubro!B43</f>
        <v>500644.45</v>
      </c>
      <c r="L43" s="10">
        <f>Novembro!B43</f>
        <v>473507.76</v>
      </c>
      <c r="M43" s="10"/>
      <c r="N43" s="10">
        <f>SUM(B43:M43)</f>
        <v>5019933.72</v>
      </c>
      <c r="O43" s="2">
        <v>28</v>
      </c>
    </row>
    <row r="44" spans="1:15" ht="12.95" customHeight="1" thickBot="1" x14ac:dyDescent="0.25">
      <c r="A44" s="8" t="s">
        <v>27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">
        <v>29</v>
      </c>
    </row>
    <row r="45" spans="1:15" ht="12.95" customHeight="1" thickBot="1" x14ac:dyDescent="0.25">
      <c r="A45" s="8" t="s">
        <v>28</v>
      </c>
      <c r="B45" s="10">
        <f>Jan!B45</f>
        <v>57496.7</v>
      </c>
      <c r="C45" s="10">
        <f>Fev!B45</f>
        <v>41285.480000000003</v>
      </c>
      <c r="D45" s="10">
        <f>Mar!B45</f>
        <v>50048.58</v>
      </c>
      <c r="E45" s="10">
        <f>Abr!B45</f>
        <v>38709.97</v>
      </c>
      <c r="F45" s="10">
        <f>Mai!B45</f>
        <v>38412.480000000003</v>
      </c>
      <c r="G45" s="10">
        <f>Jun!B45</f>
        <v>35095.040000000001</v>
      </c>
      <c r="H45" s="10">
        <f>Jul!B45</f>
        <v>30672.87</v>
      </c>
      <c r="I45" s="10">
        <f>Agosto!B45</f>
        <v>34668.81</v>
      </c>
      <c r="J45" s="10">
        <f>Setembro!B45</f>
        <v>28786.17</v>
      </c>
      <c r="K45" s="10">
        <f>Outubro!B45</f>
        <v>58991.05</v>
      </c>
      <c r="L45" s="10">
        <f>Novembro!B45</f>
        <v>43901.58</v>
      </c>
      <c r="M45" s="10"/>
      <c r="N45" s="10">
        <f>SUM(B45:M45)</f>
        <v>458068.73000000004</v>
      </c>
      <c r="O45" s="2">
        <v>30</v>
      </c>
    </row>
    <row r="46" spans="1:15" ht="12.95" customHeight="1" thickBot="1" x14ac:dyDescent="0.25">
      <c r="A46" s="5" t="s">
        <v>29</v>
      </c>
      <c r="B46" s="11">
        <f t="shared" ref="B46:M46" si="11">SUM(B47:B49)</f>
        <v>1653.41</v>
      </c>
      <c r="C46" s="11">
        <f t="shared" si="11"/>
        <v>1653.41</v>
      </c>
      <c r="D46" s="11">
        <f t="shared" si="11"/>
        <v>1653.41</v>
      </c>
      <c r="E46" s="11">
        <f t="shared" si="11"/>
        <v>1653.41</v>
      </c>
      <c r="F46" s="11">
        <f t="shared" si="11"/>
        <v>1680.91</v>
      </c>
      <c r="G46" s="11">
        <f t="shared" si="11"/>
        <v>1680.9</v>
      </c>
      <c r="H46" s="11">
        <f t="shared" si="11"/>
        <v>0</v>
      </c>
      <c r="I46" s="11">
        <f t="shared" si="11"/>
        <v>0</v>
      </c>
      <c r="J46" s="11">
        <f t="shared" si="11"/>
        <v>0</v>
      </c>
      <c r="K46" s="11">
        <f t="shared" si="11"/>
        <v>0</v>
      </c>
      <c r="L46" s="11">
        <f t="shared" si="11"/>
        <v>0</v>
      </c>
      <c r="M46" s="11">
        <f t="shared" si="11"/>
        <v>0</v>
      </c>
      <c r="N46" s="11">
        <f>SUM(N47:N49)</f>
        <v>9975.4500000000007</v>
      </c>
    </row>
    <row r="47" spans="1:15" ht="12.95" customHeight="1" thickBot="1" x14ac:dyDescent="0.25">
      <c r="A47" s="8" t="s">
        <v>30</v>
      </c>
      <c r="B47" s="10">
        <f>Jan!B47</f>
        <v>1653.41</v>
      </c>
      <c r="C47" s="10">
        <f>Fev!B47</f>
        <v>1653.41</v>
      </c>
      <c r="D47" s="10">
        <f>Mar!B47</f>
        <v>1653.41</v>
      </c>
      <c r="E47" s="10">
        <f>Abr!B47</f>
        <v>1653.41</v>
      </c>
      <c r="F47" s="10">
        <f>Mai!B47</f>
        <v>1680.91</v>
      </c>
      <c r="G47" s="10">
        <f>Jun!B47</f>
        <v>1680.9</v>
      </c>
      <c r="H47" s="10">
        <f>Jul!B47</f>
        <v>0</v>
      </c>
      <c r="I47" s="10"/>
      <c r="J47" s="10"/>
      <c r="K47" s="10"/>
      <c r="L47" s="10"/>
      <c r="M47" s="10">
        <f>Agosto!B47</f>
        <v>0</v>
      </c>
      <c r="N47" s="10">
        <f t="shared" ref="N47:N56" si="12">SUM(B47:M47)</f>
        <v>9975.4500000000007</v>
      </c>
      <c r="O47" s="2">
        <v>31</v>
      </c>
    </row>
    <row r="48" spans="1:15" ht="12.95" customHeight="1" thickBot="1" x14ac:dyDescent="0.25">
      <c r="A48" s="8" t="s">
        <v>31</v>
      </c>
      <c r="B48" s="10"/>
      <c r="C48" s="10"/>
      <c r="D48" s="10">
        <f>Mar!B48</f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>
        <f t="shared" si="12"/>
        <v>0</v>
      </c>
      <c r="O48" s="2">
        <v>32</v>
      </c>
    </row>
    <row r="49" spans="1:17" ht="12.95" customHeight="1" thickBot="1" x14ac:dyDescent="0.25">
      <c r="A49" s="8" t="s">
        <v>32</v>
      </c>
      <c r="B49" s="10"/>
      <c r="C49" s="10"/>
      <c r="D49" s="10">
        <f>Mar!B49</f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>
        <f t="shared" si="12"/>
        <v>0</v>
      </c>
      <c r="O49" s="2">
        <v>33</v>
      </c>
    </row>
    <row r="50" spans="1:17" ht="12.95" customHeight="1" thickBot="1" x14ac:dyDescent="0.25">
      <c r="A50" s="9" t="s">
        <v>33</v>
      </c>
      <c r="B50" s="10">
        <f>Jan!B50</f>
        <v>9142.02</v>
      </c>
      <c r="C50" s="10">
        <f>Fev!B50</f>
        <v>12185.54</v>
      </c>
      <c r="D50" s="10">
        <f>Mar!B50</f>
        <v>6171.04</v>
      </c>
      <c r="E50" s="10">
        <f>Abr!B50</f>
        <v>14307.72</v>
      </c>
      <c r="F50" s="10">
        <f>Mai!B50</f>
        <v>8192.9599999999991</v>
      </c>
      <c r="G50" s="10">
        <f>Jun!B50</f>
        <v>10344.879999999999</v>
      </c>
      <c r="H50" s="10">
        <f>Jul!B50</f>
        <v>7101.29</v>
      </c>
      <c r="I50" s="10">
        <f>Agosto!B50</f>
        <v>7699.82</v>
      </c>
      <c r="J50" s="10">
        <f>Setembro!B50</f>
        <v>8209.67</v>
      </c>
      <c r="K50" s="10">
        <f>Outubro!B50</f>
        <v>9039.7199999999993</v>
      </c>
      <c r="L50" s="10">
        <f>Novembro!B50</f>
        <v>8772.32</v>
      </c>
      <c r="M50" s="10">
        <f>Jul!G50</f>
        <v>0</v>
      </c>
      <c r="N50" s="10">
        <f t="shared" si="12"/>
        <v>101166.97999999998</v>
      </c>
      <c r="O50" s="2">
        <v>34</v>
      </c>
    </row>
    <row r="51" spans="1:17" ht="12.95" customHeight="1" thickBot="1" x14ac:dyDescent="0.25">
      <c r="A51" s="9" t="s">
        <v>34</v>
      </c>
      <c r="B51" s="10">
        <f>Jan!B51</f>
        <v>788.72</v>
      </c>
      <c r="C51" s="10">
        <f>Fev!B51</f>
        <v>788.72</v>
      </c>
      <c r="D51" s="10">
        <f>Mar!B51</f>
        <v>3871.66</v>
      </c>
      <c r="E51" s="10">
        <f>Abr!B51</f>
        <v>788.72</v>
      </c>
      <c r="F51" s="10">
        <f>Mai!B51</f>
        <v>2818.48</v>
      </c>
      <c r="G51" s="10">
        <f>Jun!B51</f>
        <v>788.72</v>
      </c>
      <c r="H51" s="10">
        <f>Jul!B51</f>
        <v>788.72</v>
      </c>
      <c r="I51" s="10">
        <f>Agosto!B51</f>
        <v>908.72</v>
      </c>
      <c r="J51" s="10">
        <f>Setembro!B51</f>
        <v>908.72</v>
      </c>
      <c r="K51" s="10">
        <f>Outubro!B51</f>
        <v>908.72</v>
      </c>
      <c r="L51" s="10">
        <f>Novembro!B51</f>
        <v>908.72</v>
      </c>
      <c r="M51" s="10"/>
      <c r="N51" s="10">
        <f t="shared" si="12"/>
        <v>14268.619999999997</v>
      </c>
      <c r="O51" s="2">
        <v>35</v>
      </c>
    </row>
    <row r="52" spans="1:17" ht="12.95" customHeight="1" thickBot="1" x14ac:dyDescent="0.25">
      <c r="A52" s="9" t="s">
        <v>35</v>
      </c>
      <c r="B52" s="10">
        <f>Jan!B52</f>
        <v>871.2</v>
      </c>
      <c r="C52" s="10">
        <f>Fev!B52</f>
        <v>122.48</v>
      </c>
      <c r="D52" s="10">
        <f>Mar!B52</f>
        <v>89.299999999999898</v>
      </c>
      <c r="E52" s="10">
        <f>Abr!B52</f>
        <v>66.2</v>
      </c>
      <c r="F52" s="10">
        <f>Mai!B52</f>
        <v>69.19</v>
      </c>
      <c r="G52" s="10">
        <f>Jun!B52</f>
        <v>20.8</v>
      </c>
      <c r="H52" s="10">
        <f>Jul!B52</f>
        <v>22.77</v>
      </c>
      <c r="I52" s="10">
        <f>Agosto!B52</f>
        <v>20.79</v>
      </c>
      <c r="J52" s="10">
        <f>Setembro!B52</f>
        <v>31.46</v>
      </c>
      <c r="K52" s="10">
        <f>Outubro!B52</f>
        <v>28.69</v>
      </c>
      <c r="L52" s="10">
        <f>Novembro!B52</f>
        <v>24.57</v>
      </c>
      <c r="M52" s="10">
        <f>Jul!G52</f>
        <v>0</v>
      </c>
      <c r="N52" s="10">
        <f t="shared" si="12"/>
        <v>1367.45</v>
      </c>
      <c r="O52" s="2">
        <v>36</v>
      </c>
    </row>
    <row r="53" spans="1:17" ht="12.95" customHeight="1" thickBot="1" x14ac:dyDescent="0.25">
      <c r="A53" s="9" t="s">
        <v>36</v>
      </c>
      <c r="B53" s="10">
        <f>Jan!B53</f>
        <v>0</v>
      </c>
      <c r="C53" s="10">
        <f>Fev!B53</f>
        <v>0</v>
      </c>
      <c r="D53" s="10">
        <f>Mar!B53</f>
        <v>0</v>
      </c>
      <c r="E53" s="10">
        <f>Abr!B53</f>
        <v>0</v>
      </c>
      <c r="F53" s="10">
        <f>Mai!B53</f>
        <v>0</v>
      </c>
      <c r="G53" s="10">
        <f>Jun!B53</f>
        <v>0</v>
      </c>
      <c r="H53" s="10">
        <f>Jul!B53</f>
        <v>0</v>
      </c>
      <c r="I53" s="10">
        <f>Agosto!B53</f>
        <v>0</v>
      </c>
      <c r="J53" s="10">
        <f>Setembro!B53</f>
        <v>0</v>
      </c>
      <c r="K53" s="10">
        <f>Outubro!B53</f>
        <v>0</v>
      </c>
      <c r="L53" s="10">
        <f>Novembro!B53</f>
        <v>0</v>
      </c>
      <c r="M53" s="10">
        <f>Jul!G53</f>
        <v>0</v>
      </c>
      <c r="N53" s="10">
        <f t="shared" si="12"/>
        <v>0</v>
      </c>
      <c r="O53" s="2">
        <v>37</v>
      </c>
    </row>
    <row r="54" spans="1:17" ht="12.95" customHeight="1" thickBot="1" x14ac:dyDescent="0.25">
      <c r="A54" s="9" t="s">
        <v>37</v>
      </c>
      <c r="B54" s="10">
        <f>Jan!B54</f>
        <v>0</v>
      </c>
      <c r="C54" s="10">
        <f>Fev!B54</f>
        <v>0</v>
      </c>
      <c r="D54" s="10">
        <f>Mar!B54</f>
        <v>0</v>
      </c>
      <c r="E54" s="10">
        <f>Abr!B54</f>
        <v>0</v>
      </c>
      <c r="F54" s="10">
        <f>Mai!B54</f>
        <v>0</v>
      </c>
      <c r="G54" s="10">
        <f>Jun!B54</f>
        <v>0</v>
      </c>
      <c r="H54" s="10">
        <f>Jul!B54</f>
        <v>0</v>
      </c>
      <c r="I54" s="10">
        <f>Agosto!B54</f>
        <v>0</v>
      </c>
      <c r="J54" s="10">
        <f>Setembro!B54</f>
        <v>0</v>
      </c>
      <c r="K54" s="10">
        <f>Outubro!B54</f>
        <v>0</v>
      </c>
      <c r="L54" s="10">
        <f>Novembro!B54</f>
        <v>0</v>
      </c>
      <c r="M54" s="10">
        <f>Jul!G54</f>
        <v>0</v>
      </c>
      <c r="N54" s="10">
        <f t="shared" si="12"/>
        <v>0</v>
      </c>
      <c r="O54" s="2">
        <v>38</v>
      </c>
    </row>
    <row r="55" spans="1:17" ht="12.95" customHeight="1" thickBot="1" x14ac:dyDescent="0.25">
      <c r="A55" s="9" t="s">
        <v>38</v>
      </c>
      <c r="B55" s="10">
        <f>Jan!B55</f>
        <v>0</v>
      </c>
      <c r="C55" s="10">
        <f>Fev!B55</f>
        <v>0</v>
      </c>
      <c r="D55" s="10">
        <f>Mar!B55</f>
        <v>0</v>
      </c>
      <c r="E55" s="10">
        <f>Abr!B55</f>
        <v>0</v>
      </c>
      <c r="F55" s="10">
        <f>Mai!B55</f>
        <v>0</v>
      </c>
      <c r="G55" s="10">
        <f>Jun!B55</f>
        <v>0</v>
      </c>
      <c r="H55" s="10">
        <f>Jul!B55</f>
        <v>0</v>
      </c>
      <c r="I55" s="10">
        <f>Agosto!B55</f>
        <v>0</v>
      </c>
      <c r="J55" s="10">
        <f>Setembro!B55</f>
        <v>0</v>
      </c>
      <c r="K55" s="10">
        <f>Outubro!B55</f>
        <v>0</v>
      </c>
      <c r="L55" s="10">
        <f>Novembro!B55</f>
        <v>0</v>
      </c>
      <c r="M55" s="10">
        <f>Jul!G55</f>
        <v>0</v>
      </c>
      <c r="N55" s="10">
        <f t="shared" si="12"/>
        <v>0</v>
      </c>
      <c r="O55" s="2">
        <v>39</v>
      </c>
    </row>
    <row r="56" spans="1:17" ht="12.95" customHeight="1" thickBot="1" x14ac:dyDescent="0.25">
      <c r="A56" s="9" t="s">
        <v>39</v>
      </c>
      <c r="B56" s="10">
        <f>Jan!B56</f>
        <v>1042540.57</v>
      </c>
      <c r="C56" s="10">
        <f>Fev!B56</f>
        <v>961062.85</v>
      </c>
      <c r="D56" s="10">
        <f>Mar!B56</f>
        <v>1054103.78</v>
      </c>
      <c r="E56" s="10">
        <f>Abr!B56</f>
        <v>952709.85</v>
      </c>
      <c r="F56" s="10">
        <f>Mai!B56</f>
        <v>1603623.23</v>
      </c>
      <c r="G56" s="10">
        <f>Jun!B56</f>
        <v>1079405.3700000001</v>
      </c>
      <c r="H56" s="10">
        <f>Jul!B56</f>
        <v>1266220.76</v>
      </c>
      <c r="I56" s="10">
        <f>Agosto!B56</f>
        <v>1381276.36</v>
      </c>
      <c r="J56" s="10">
        <f>Setembro!B56</f>
        <v>1312259.5900000001</v>
      </c>
      <c r="K56" s="10">
        <f>Outubro!B56</f>
        <v>1433240.85</v>
      </c>
      <c r="L56" s="10">
        <f>Novembro!B56</f>
        <v>1377963.78</v>
      </c>
      <c r="M56" s="10">
        <f>Jul!G56</f>
        <v>0</v>
      </c>
      <c r="N56" s="10">
        <f>SUM(B56:M56)</f>
        <v>13464406.989999998</v>
      </c>
      <c r="O56" s="2">
        <v>40</v>
      </c>
    </row>
    <row r="57" spans="1:17" ht="12.95" customHeight="1" thickBot="1" x14ac:dyDescent="0.25">
      <c r="A57" s="5" t="s">
        <v>40</v>
      </c>
      <c r="B57" s="11">
        <f>B26+B37+B42+B46+B50+B51+B52+B53+B54+B55+B56</f>
        <v>2580246.5</v>
      </c>
      <c r="C57" s="11">
        <f>C26+C37+C42+C46+C50+C51+C52+C53+C54+C55+C56</f>
        <v>2240419.29</v>
      </c>
      <c r="D57" s="11">
        <f>D26+D37+D42+D46+D50+D51+D52+D53+D54+D55+D56</f>
        <v>2389391.65</v>
      </c>
      <c r="E57" s="11">
        <f t="shared" ref="E57:M57" si="13">E26+E37+E42+E46+E50+E51+E52+E53+E54+E55+E56</f>
        <v>2189472.5</v>
      </c>
      <c r="F57" s="11">
        <f t="shared" si="13"/>
        <v>3200766.3499999996</v>
      </c>
      <c r="G57" s="11">
        <f t="shared" ref="G57:H57" si="14">G26+G37+G42+G46+G50+G51+G52+G53+G54+G55+G56</f>
        <v>2654708.2799999998</v>
      </c>
      <c r="H57" s="11">
        <f t="shared" si="14"/>
        <v>3055095.64</v>
      </c>
      <c r="I57" s="11">
        <f t="shared" si="13"/>
        <v>2835763.38</v>
      </c>
      <c r="J57" s="11">
        <f t="shared" si="13"/>
        <v>2587976.7399999998</v>
      </c>
      <c r="K57" s="11">
        <f t="shared" si="13"/>
        <v>3013505.15</v>
      </c>
      <c r="L57" s="11">
        <f t="shared" si="13"/>
        <v>3088804.3100000005</v>
      </c>
      <c r="M57" s="11">
        <f t="shared" si="13"/>
        <v>0</v>
      </c>
      <c r="N57" s="11">
        <f>N26+N37+N42+N46+N50+N51+N52+N53+N54+N55+N56</f>
        <v>29836149.789999999</v>
      </c>
      <c r="Q57" s="17"/>
    </row>
    <row r="58" spans="1:17" ht="12.95" customHeight="1" thickBot="1" x14ac:dyDescent="0.25">
      <c r="A58" s="5" t="s">
        <v>41</v>
      </c>
      <c r="B58" s="11">
        <f>B24-B57</f>
        <v>-2552197.2599999998</v>
      </c>
      <c r="C58" s="11">
        <f>C24-C57</f>
        <v>3669612.2299999995</v>
      </c>
      <c r="D58" s="11">
        <f>D24-D57</f>
        <v>359386.14999999991</v>
      </c>
      <c r="E58" s="11">
        <f t="shared" ref="E58:M58" si="15">E24-E57</f>
        <v>1119652.67</v>
      </c>
      <c r="F58" s="11">
        <f t="shared" si="15"/>
        <v>153765.60000000056</v>
      </c>
      <c r="G58" s="11">
        <f t="shared" ref="G58:H58" si="16">G24-G57</f>
        <v>935858.52000000048</v>
      </c>
      <c r="H58" s="11">
        <f t="shared" si="16"/>
        <v>-121939.20000000019</v>
      </c>
      <c r="I58" s="11">
        <f t="shared" si="15"/>
        <v>770519.45000000019</v>
      </c>
      <c r="J58" s="11">
        <f t="shared" si="15"/>
        <v>1143812.9900000002</v>
      </c>
      <c r="K58" s="11">
        <f t="shared" si="15"/>
        <v>572241.89000000013</v>
      </c>
      <c r="L58" s="11">
        <f t="shared" si="15"/>
        <v>-2985559.8500000006</v>
      </c>
      <c r="M58" s="11">
        <f t="shared" si="15"/>
        <v>0</v>
      </c>
      <c r="N58" s="11">
        <f>N24-N57</f>
        <v>3065153.1900000051</v>
      </c>
    </row>
    <row r="59" spans="1:17" ht="12.95" customHeight="1" thickBot="1" x14ac:dyDescent="0.25">
      <c r="A59" s="5" t="s">
        <v>42</v>
      </c>
      <c r="B59" s="11">
        <f>B8+B24-B57</f>
        <v>3456175.8900000062</v>
      </c>
      <c r="C59" s="11">
        <f>C8+C24-C57</f>
        <v>7125788.1200000057</v>
      </c>
      <c r="D59" s="11">
        <f t="shared" ref="D59:L59" si="17">D8+D24-D57</f>
        <v>7485174.2700000051</v>
      </c>
      <c r="E59" s="11">
        <f t="shared" si="17"/>
        <v>8604826.9400000051</v>
      </c>
      <c r="F59" s="11">
        <f>F8+F24-F57</f>
        <v>8758592.5400000047</v>
      </c>
      <c r="G59" s="11">
        <f t="shared" si="17"/>
        <v>9694451.0600000061</v>
      </c>
      <c r="H59" s="11">
        <f t="shared" ref="H59" si="18">H8+H24-H57</f>
        <v>9572511.860000005</v>
      </c>
      <c r="I59" s="11">
        <f t="shared" si="17"/>
        <v>10343031.310000006</v>
      </c>
      <c r="J59" s="11">
        <f t="shared" si="17"/>
        <v>11486844.300000006</v>
      </c>
      <c r="K59" s="11">
        <f t="shared" si="17"/>
        <v>12059086.190000007</v>
      </c>
      <c r="L59" s="11">
        <f t="shared" si="17"/>
        <v>9073526.3400000073</v>
      </c>
      <c r="M59" s="11">
        <f>M8+M24-M57</f>
        <v>0</v>
      </c>
      <c r="N59" s="11"/>
    </row>
    <row r="60" spans="1:17" ht="12.95" customHeight="1" x14ac:dyDescent="0.2">
      <c r="A60" s="6"/>
    </row>
    <row r="61" spans="1:17" ht="12.95" customHeight="1" thickBot="1" x14ac:dyDescent="0.25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7" ht="12.95" customHeight="1" thickBot="1" x14ac:dyDescent="0.25">
      <c r="A62" s="60"/>
      <c r="B62" s="3" t="str">
        <f>B6</f>
        <v>Janeiro</v>
      </c>
      <c r="C62" s="3" t="str">
        <f>C6</f>
        <v>Fevereiro</v>
      </c>
      <c r="D62" s="3" t="str">
        <f t="shared" ref="D62:M62" si="19">D6</f>
        <v>Março</v>
      </c>
      <c r="E62" s="3" t="str">
        <f t="shared" si="19"/>
        <v>Abril</v>
      </c>
      <c r="F62" s="3" t="str">
        <f t="shared" si="19"/>
        <v>Maio</v>
      </c>
      <c r="G62" s="3" t="str">
        <f t="shared" si="19"/>
        <v>Junho</v>
      </c>
      <c r="H62" s="3" t="str">
        <f t="shared" si="19"/>
        <v>Julho</v>
      </c>
      <c r="I62" s="3" t="str">
        <f t="shared" si="19"/>
        <v>Agosto</v>
      </c>
      <c r="J62" s="3" t="str">
        <f t="shared" si="19"/>
        <v>Setembro</v>
      </c>
      <c r="K62" s="3" t="str">
        <f t="shared" si="19"/>
        <v>Outubro</v>
      </c>
      <c r="L62" s="3" t="str">
        <f t="shared" si="19"/>
        <v>Novembro</v>
      </c>
      <c r="M62" s="3" t="str">
        <f t="shared" si="19"/>
        <v>Dezembro</v>
      </c>
    </row>
    <row r="63" spans="1:17" ht="12.95" customHeight="1" thickBot="1" x14ac:dyDescent="0.25">
      <c r="A63" s="61"/>
      <c r="B63" s="3" t="s">
        <v>3</v>
      </c>
      <c r="C63" s="3" t="s">
        <v>3</v>
      </c>
      <c r="D63" s="3" t="s">
        <v>3</v>
      </c>
      <c r="E63" s="3" t="s">
        <v>3</v>
      </c>
      <c r="F63" s="3" t="s">
        <v>3</v>
      </c>
      <c r="G63" s="3" t="s">
        <v>3</v>
      </c>
      <c r="H63" s="3" t="s">
        <v>3</v>
      </c>
      <c r="I63" s="3" t="s">
        <v>3</v>
      </c>
      <c r="J63" s="3" t="s">
        <v>3</v>
      </c>
      <c r="K63" s="3" t="s">
        <v>3</v>
      </c>
      <c r="L63" s="3" t="s">
        <v>3</v>
      </c>
      <c r="M63" s="3" t="s">
        <v>3</v>
      </c>
    </row>
    <row r="64" spans="1:17" ht="12.95" customHeight="1" thickBot="1" x14ac:dyDescent="0.25">
      <c r="A64" s="4" t="s">
        <v>44</v>
      </c>
      <c r="B64" s="10">
        <f>Jan!B64</f>
        <v>0</v>
      </c>
      <c r="C64" s="10">
        <f>Fev!B64</f>
        <v>0</v>
      </c>
      <c r="D64" s="10">
        <f>Mar!B64</f>
        <v>0</v>
      </c>
      <c r="E64" s="10">
        <f>Mar!C64</f>
        <v>0</v>
      </c>
      <c r="F64" s="10"/>
      <c r="G64" s="10"/>
      <c r="H64" s="10"/>
      <c r="I64" s="10"/>
      <c r="J64" s="10"/>
      <c r="K64" s="10"/>
      <c r="L64" s="10"/>
      <c r="M64" s="10"/>
    </row>
    <row r="65" spans="1:15" ht="12.95" customHeight="1" thickBot="1" x14ac:dyDescent="0.25">
      <c r="A65" s="4" t="s">
        <v>45</v>
      </c>
      <c r="B65" s="10">
        <f>Jan!B65</f>
        <v>3455297.3</v>
      </c>
      <c r="C65" s="10">
        <f>Fev!B65</f>
        <v>7125028.1000000006</v>
      </c>
      <c r="D65" s="10">
        <f>Mar!B65</f>
        <v>7485112.6699999999</v>
      </c>
      <c r="E65" s="10">
        <f>Abr!B65</f>
        <v>8604619.9900000002</v>
      </c>
      <c r="F65" s="10">
        <f>Mai!B65</f>
        <v>8758504.9299999997</v>
      </c>
      <c r="G65" s="10">
        <f>Jun!B65</f>
        <v>9693607.0099999998</v>
      </c>
      <c r="H65" s="10">
        <f>Jul!B65</f>
        <v>9571975.1600000001</v>
      </c>
      <c r="I65" s="10">
        <f>Agosto!B65</f>
        <v>10342597.49</v>
      </c>
      <c r="J65" s="10">
        <f>Setembro!B65</f>
        <v>11486471.790000001</v>
      </c>
      <c r="K65" s="10">
        <f>Outubro!B65</f>
        <v>12058902.23</v>
      </c>
      <c r="L65" s="10">
        <f>Novembro!B65</f>
        <v>9073301.6099999994</v>
      </c>
      <c r="M65" s="10"/>
    </row>
    <row r="66" spans="1:15" ht="12.95" customHeight="1" thickBot="1" x14ac:dyDescent="0.25">
      <c r="A66" s="4" t="s">
        <v>46</v>
      </c>
      <c r="B66" s="10">
        <f>Jan!B66</f>
        <v>878.59</v>
      </c>
      <c r="C66" s="10">
        <f>Fev!B66</f>
        <v>760.02</v>
      </c>
      <c r="D66" s="10">
        <f>Mar!B66</f>
        <v>61.6</v>
      </c>
      <c r="E66" s="10">
        <f>Abr!B66</f>
        <v>206.95</v>
      </c>
      <c r="F66" s="10">
        <f>Mai!B66</f>
        <v>87.61</v>
      </c>
      <c r="G66" s="10">
        <f>Jun!B66</f>
        <v>844.05</v>
      </c>
      <c r="H66" s="10">
        <f>Jul!B66</f>
        <v>536.70000000000005</v>
      </c>
      <c r="I66" s="10">
        <f>Agosto!B66</f>
        <v>433.82</v>
      </c>
      <c r="J66" s="10">
        <f>Setembro!B66</f>
        <v>372.51</v>
      </c>
      <c r="K66" s="10">
        <f>Outubro!B66</f>
        <v>183.96</v>
      </c>
      <c r="L66" s="10">
        <f>Novembro!B66</f>
        <v>224.73</v>
      </c>
      <c r="M66" s="10"/>
    </row>
    <row r="67" spans="1:15" ht="12.95" customHeight="1" thickBot="1" x14ac:dyDescent="0.25">
      <c r="A67" s="5" t="s">
        <v>47</v>
      </c>
      <c r="B67" s="11">
        <f>SUM(B64:B66)</f>
        <v>3456175.8899999997</v>
      </c>
      <c r="C67" s="11">
        <f>SUM(C64:C66)</f>
        <v>7125788.1200000001</v>
      </c>
      <c r="D67" s="11">
        <f t="shared" ref="D67:L67" si="20">SUM(D64:D66)</f>
        <v>7485174.2699999996</v>
      </c>
      <c r="E67" s="11">
        <f t="shared" si="20"/>
        <v>8604826.9399999995</v>
      </c>
      <c r="F67" s="11">
        <f>SUM(F64:F66)</f>
        <v>8758592.5399999991</v>
      </c>
      <c r="G67" s="11">
        <f t="shared" si="20"/>
        <v>9694451.0600000005</v>
      </c>
      <c r="H67" s="11">
        <f t="shared" si="20"/>
        <v>9572511.8599999994</v>
      </c>
      <c r="I67" s="11">
        <f t="shared" si="20"/>
        <v>10343031.310000001</v>
      </c>
      <c r="J67" s="11">
        <f t="shared" si="20"/>
        <v>11486844.300000001</v>
      </c>
      <c r="K67" s="11">
        <f t="shared" si="20"/>
        <v>12059086.190000001</v>
      </c>
      <c r="L67" s="11">
        <f t="shared" si="20"/>
        <v>9073526.3399999999</v>
      </c>
      <c r="M67" s="11">
        <f>SUM(M64:M66)</f>
        <v>0</v>
      </c>
      <c r="N67" s="17"/>
    </row>
    <row r="68" spans="1:15" ht="12.95" customHeight="1" x14ac:dyDescent="0.2">
      <c r="A68" s="6"/>
    </row>
    <row r="69" spans="1:15" ht="12.95" customHeight="1" thickBot="1" x14ac:dyDescent="0.25">
      <c r="A69" s="41" t="s">
        <v>48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ht="12.95" customHeight="1" thickBot="1" x14ac:dyDescent="0.25">
      <c r="A70" s="60"/>
      <c r="B70" s="3" t="str">
        <f>B62</f>
        <v>Janeiro</v>
      </c>
      <c r="C70" s="3" t="str">
        <f>C62</f>
        <v>Fevereiro</v>
      </c>
      <c r="D70" s="3" t="str">
        <f t="shared" ref="D70:L70" si="21">D62</f>
        <v>Março</v>
      </c>
      <c r="E70" s="3" t="str">
        <f t="shared" si="21"/>
        <v>Abril</v>
      </c>
      <c r="F70" s="3" t="str">
        <f t="shared" si="21"/>
        <v>Maio</v>
      </c>
      <c r="G70" s="3" t="str">
        <f t="shared" si="21"/>
        <v>Junho</v>
      </c>
      <c r="H70" s="3" t="str">
        <f t="shared" si="21"/>
        <v>Julho</v>
      </c>
      <c r="I70" s="3" t="str">
        <f t="shared" si="21"/>
        <v>Agosto</v>
      </c>
      <c r="J70" s="3" t="str">
        <f t="shared" si="21"/>
        <v>Setembro</v>
      </c>
      <c r="K70" s="3" t="str">
        <f t="shared" si="21"/>
        <v>Outubro</v>
      </c>
      <c r="L70" s="3" t="str">
        <f t="shared" si="21"/>
        <v>Novembro</v>
      </c>
      <c r="M70" s="3" t="str">
        <f>M62</f>
        <v>Dezembro</v>
      </c>
    </row>
    <row r="71" spans="1:15" ht="12.95" customHeight="1" thickBot="1" x14ac:dyDescent="0.25">
      <c r="A71" s="61"/>
      <c r="B71" s="3" t="s">
        <v>3</v>
      </c>
      <c r="C71" s="3" t="s">
        <v>3</v>
      </c>
      <c r="D71" s="3" t="s">
        <v>3</v>
      </c>
      <c r="E71" s="3" t="s">
        <v>3</v>
      </c>
      <c r="F71" s="3" t="s">
        <v>3</v>
      </c>
      <c r="G71" s="3" t="s">
        <v>3</v>
      </c>
      <c r="H71" s="3" t="s">
        <v>3</v>
      </c>
      <c r="I71" s="3" t="s">
        <v>3</v>
      </c>
      <c r="J71" s="3" t="s">
        <v>3</v>
      </c>
      <c r="K71" s="3" t="s">
        <v>3</v>
      </c>
      <c r="L71" s="3" t="s">
        <v>3</v>
      </c>
      <c r="M71" s="3" t="s">
        <v>3</v>
      </c>
    </row>
    <row r="72" spans="1:15" ht="12.95" customHeight="1" thickBot="1" x14ac:dyDescent="0.25">
      <c r="A72" s="4" t="s">
        <v>49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5"/>
    </row>
    <row r="73" spans="1:15" ht="12.95" customHeight="1" thickBot="1" x14ac:dyDescent="0.25">
      <c r="A73" s="4" t="s">
        <v>50</v>
      </c>
      <c r="B73" s="14">
        <f>Jan!B73</f>
        <v>3456175.8899999997</v>
      </c>
      <c r="C73" s="10">
        <f>Fev!B73</f>
        <v>7125788.1200000001</v>
      </c>
      <c r="D73" s="10">
        <f>Mar!B73</f>
        <v>7485174.2699999996</v>
      </c>
      <c r="E73" s="10">
        <f>Abr!B73</f>
        <v>8604826.9399999995</v>
      </c>
      <c r="F73" s="10">
        <f>Mai!B73</f>
        <v>8758592.5399999991</v>
      </c>
      <c r="G73" s="10">
        <f>Jun!B73</f>
        <v>9694451.0600000005</v>
      </c>
      <c r="H73" s="10">
        <f>Jul!B73</f>
        <v>9572511.8599999994</v>
      </c>
      <c r="I73" s="10">
        <f>Agosto!B73</f>
        <v>10343031.310000001</v>
      </c>
      <c r="J73" s="10">
        <f>Setembro!B73</f>
        <v>11486844.300000001</v>
      </c>
      <c r="K73" s="10">
        <f>Outubro!B73</f>
        <v>12059086.190000001</v>
      </c>
      <c r="L73" s="10">
        <f>Novembro!B73</f>
        <v>9073526.3399999999</v>
      </c>
      <c r="M73" s="10"/>
      <c r="N73" s="25"/>
    </row>
    <row r="74" spans="1:15" ht="12.95" customHeight="1" thickBot="1" x14ac:dyDescent="0.25">
      <c r="A74" s="5" t="s">
        <v>47</v>
      </c>
      <c r="B74" s="11">
        <f>SUM(B72:B73)</f>
        <v>3456175.8899999997</v>
      </c>
      <c r="C74" s="11">
        <f>SUM(C72:C73)</f>
        <v>7125788.1200000001</v>
      </c>
      <c r="D74" s="11">
        <f t="shared" ref="D74:L74" si="22">SUM(D72:D73)</f>
        <v>7485174.2699999996</v>
      </c>
      <c r="E74" s="11">
        <f t="shared" si="22"/>
        <v>8604826.9399999995</v>
      </c>
      <c r="F74" s="11">
        <f>SUM(F72:F73)</f>
        <v>8758592.5399999991</v>
      </c>
      <c r="G74" s="11">
        <f t="shared" si="22"/>
        <v>9694451.0600000005</v>
      </c>
      <c r="H74" s="11">
        <f t="shared" si="22"/>
        <v>9572511.8599999994</v>
      </c>
      <c r="I74" s="11">
        <f t="shared" si="22"/>
        <v>10343031.310000001</v>
      </c>
      <c r="J74" s="11">
        <f>SUM(J72:J73)</f>
        <v>11486844.300000001</v>
      </c>
      <c r="K74" s="11">
        <f t="shared" si="22"/>
        <v>12059086.190000001</v>
      </c>
      <c r="L74" s="11">
        <f t="shared" si="22"/>
        <v>9073526.3399999999</v>
      </c>
      <c r="M74" s="11">
        <f>SUM(M72:M73)</f>
        <v>0</v>
      </c>
      <c r="N74" s="17"/>
    </row>
    <row r="75" spans="1:15" ht="12.95" customHeight="1" x14ac:dyDescent="0.2">
      <c r="A75" s="6"/>
    </row>
    <row r="76" spans="1:15" ht="12.95" customHeight="1" x14ac:dyDescent="0.2">
      <c r="A76" s="6"/>
    </row>
    <row r="77" spans="1:15" ht="12.95" customHeight="1" x14ac:dyDescent="0.2"/>
  </sheetData>
  <mergeCells count="9">
    <mergeCell ref="O6:O7"/>
    <mergeCell ref="A61:P61"/>
    <mergeCell ref="A62:A63"/>
    <mergeCell ref="A70:A71"/>
    <mergeCell ref="A1:N1"/>
    <mergeCell ref="A2:N2"/>
    <mergeCell ref="A3:N3"/>
    <mergeCell ref="A4:N4"/>
    <mergeCell ref="A6:A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7841-58FF-43C5-B9E8-565738BD28FC}">
  <sheetPr>
    <pageSetUpPr fitToPage="1"/>
  </sheetPr>
  <dimension ref="A1:K85"/>
  <sheetViews>
    <sheetView showGridLines="0" topLeftCell="A73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123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124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Jan!B59</f>
        <v>3456175.8900000062</v>
      </c>
      <c r="F8" s="18" t="s">
        <v>107</v>
      </c>
      <c r="G8" s="21" t="s">
        <v>137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5867328.96</v>
      </c>
      <c r="H9" s="36">
        <v>1</v>
      </c>
      <c r="I9" s="33"/>
      <c r="J9" s="18" t="s">
        <v>70</v>
      </c>
      <c r="K9" s="26" t="s">
        <v>140</v>
      </c>
    </row>
    <row r="10" spans="1:11" ht="12.95" customHeight="1" thickBot="1" x14ac:dyDescent="0.25">
      <c r="A10" s="4" t="s">
        <v>6</v>
      </c>
      <c r="B10" s="10">
        <v>5867328.96</v>
      </c>
      <c r="C10" s="2">
        <v>1</v>
      </c>
      <c r="F10" s="23" t="s">
        <v>72</v>
      </c>
      <c r="G10" s="16">
        <v>42702.559999999998</v>
      </c>
      <c r="H10" s="36">
        <v>7</v>
      </c>
      <c r="I10" s="33"/>
      <c r="J10" s="18" t="s">
        <v>118</v>
      </c>
      <c r="K10" s="26" t="s">
        <v>141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-328447.59999999998</v>
      </c>
      <c r="H11" s="36">
        <v>15</v>
      </c>
      <c r="I11" s="33"/>
      <c r="J11" s="18" t="s">
        <v>71</v>
      </c>
      <c r="K11" s="26" t="s">
        <v>142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-141831.17000000001</v>
      </c>
      <c r="H12" s="36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-134556.70000000001</v>
      </c>
      <c r="H13" s="36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/>
      <c r="H14" s="36">
        <v>19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-67615.86</v>
      </c>
      <c r="H15" s="36">
        <v>21</v>
      </c>
      <c r="I15" s="33"/>
      <c r="J15" s="18" t="s">
        <v>104</v>
      </c>
      <c r="K15" s="26">
        <v>70.489999999999995</v>
      </c>
    </row>
    <row r="16" spans="1:11" ht="12.95" customHeight="1" thickBot="1" x14ac:dyDescent="0.25">
      <c r="A16" s="4" t="s">
        <v>7</v>
      </c>
      <c r="B16" s="10">
        <v>42702.559999999998</v>
      </c>
      <c r="C16" s="2">
        <v>7</v>
      </c>
      <c r="F16" s="23" t="s">
        <v>78</v>
      </c>
      <c r="G16" s="16">
        <v>-27674.499999999996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-208686.94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-314508.03999999998</v>
      </c>
      <c r="H18" s="36">
        <v>28</v>
      </c>
      <c r="I18" s="33"/>
      <c r="J18" s="18" t="s">
        <v>114</v>
      </c>
      <c r="K18" s="26">
        <v>7124957.6100000003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-41285.479999999996</v>
      </c>
      <c r="H19" s="36">
        <v>30</v>
      </c>
      <c r="I19" s="33"/>
      <c r="J19" s="18" t="s">
        <v>106</v>
      </c>
      <c r="K19" s="26">
        <v>760.02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-1653.41</v>
      </c>
      <c r="H20" s="36">
        <v>31</v>
      </c>
      <c r="I20" s="33"/>
      <c r="J20" s="30"/>
      <c r="K20" s="26">
        <f>SUM(K14:K19)</f>
        <v>7125788.1200000001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-12185.539999999997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-788.72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-122.47999999999996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5910031.5199999996</v>
      </c>
      <c r="F24" s="23" t="s">
        <v>85</v>
      </c>
      <c r="G24" s="16">
        <v>-961062.84999999986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3669612.2299999986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672451.33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328447.6-B29-B35</f>
        <v>294239.46999999997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f>141831.17</f>
        <v>141831.17000000001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31628.79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-13718.25+134556.7</f>
        <v>120838.45000000001</v>
      </c>
      <c r="C30" s="2">
        <v>18</v>
      </c>
    </row>
    <row r="31" spans="1:11" ht="12.95" customHeight="1" thickBot="1" x14ac:dyDescent="0.25">
      <c r="A31" s="8" t="s">
        <v>16</v>
      </c>
      <c r="B31" s="10"/>
      <c r="C31" s="2">
        <v>19</v>
      </c>
    </row>
    <row r="32" spans="1:11" ht="12.95" customHeight="1" thickBot="1" x14ac:dyDescent="0.25">
      <c r="A32" s="8" t="s">
        <v>17</v>
      </c>
      <c r="B32" s="10">
        <f>28.27</f>
        <v>28.27</v>
      </c>
      <c r="C32" s="2">
        <v>20</v>
      </c>
    </row>
    <row r="33" spans="1:11" ht="12.95" customHeight="1" thickBot="1" x14ac:dyDescent="0.25">
      <c r="A33" s="8" t="s">
        <v>18</v>
      </c>
      <c r="B33" s="10">
        <f>13689.98+67615.86</f>
        <v>81305.84</v>
      </c>
      <c r="C33" s="2">
        <v>21</v>
      </c>
      <c r="F33" s="56" t="s">
        <v>138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7398.84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2579.34</v>
      </c>
      <c r="C35" s="2">
        <v>23</v>
      </c>
      <c r="F35" s="12" t="s">
        <v>58</v>
      </c>
      <c r="G35" s="24">
        <v>6291.14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>
        <v>0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236361.44</v>
      </c>
      <c r="F37" s="12" t="s">
        <v>60</v>
      </c>
      <c r="G37" s="24">
        <v>28.27</v>
      </c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27674.5</v>
      </c>
      <c r="F38" s="12"/>
      <c r="G38" s="38">
        <f>SUM(G34:G37)</f>
        <v>13718.25</v>
      </c>
      <c r="H38" s="12"/>
      <c r="I38" s="38"/>
    </row>
    <row r="39" spans="1:11" ht="12.95" customHeight="1" thickBot="1" x14ac:dyDescent="0.25">
      <c r="A39" s="8" t="s">
        <v>22</v>
      </c>
      <c r="B39" s="10">
        <f>27674.5</f>
        <v>27674.5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6144.31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f>208686.94</f>
        <v>208686.94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355793.51999999996</v>
      </c>
      <c r="F42" s="23" t="s">
        <v>63</v>
      </c>
      <c r="G42" s="24">
        <v>2554.1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f>314508.04</f>
        <v>314508.03999999998</v>
      </c>
      <c r="C43" s="2">
        <v>28</v>
      </c>
      <c r="F43" s="23" t="s">
        <v>64</v>
      </c>
      <c r="G43" s="24">
        <v>1751.01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f>41285.48</f>
        <v>41285.480000000003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f>1653.41</f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15195.12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5984.25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f>12185.54</f>
        <v>12185.54</v>
      </c>
      <c r="C50" s="2">
        <v>34</v>
      </c>
      <c r="F50" s="23" t="s">
        <v>69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f>788.72</f>
        <v>788.72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f>122.48</f>
        <v>122.48</v>
      </c>
      <c r="C52" s="2">
        <v>36</v>
      </c>
      <c r="F52" s="13"/>
      <c r="G52" s="37">
        <f>SUM(G40:G51)</f>
        <v>31628.79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139</v>
      </c>
      <c r="G55" s="56"/>
      <c r="H55" s="56"/>
    </row>
    <row r="56" spans="1:9" ht="12.95" customHeight="1" thickBot="1" x14ac:dyDescent="0.25">
      <c r="A56" s="9" t="s">
        <v>39</v>
      </c>
      <c r="B56" s="10">
        <v>961062.85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2240419.29</v>
      </c>
      <c r="F57" s="23" t="s">
        <v>112</v>
      </c>
      <c r="G57" s="24">
        <v>2579.34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3669612.2299999995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7125788.1200000057</v>
      </c>
      <c r="G59" s="39">
        <f>SUM(G56:G58)</f>
        <v>2579.34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Fevereiro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70.49+7124957.61</f>
        <v>7125028.1000000006</v>
      </c>
    </row>
    <row r="66" spans="1:7" ht="12.95" customHeight="1" thickBot="1" x14ac:dyDescent="0.25">
      <c r="A66" s="4" t="s">
        <v>46</v>
      </c>
      <c r="B66" s="10">
        <f>760.02</f>
        <v>760.02</v>
      </c>
    </row>
    <row r="67" spans="1:7" ht="12.95" customHeight="1" thickBot="1" x14ac:dyDescent="0.25">
      <c r="A67" s="5" t="s">
        <v>47</v>
      </c>
      <c r="B67" s="11">
        <f>SUM(B64:B66)</f>
        <v>7125788.1200000001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Fevereiro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7125788.1200000001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7125788.1200000001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144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Fevereiro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5">
    <mergeCell ref="J8:K8"/>
    <mergeCell ref="A1:E1"/>
    <mergeCell ref="A2:E2"/>
    <mergeCell ref="A3:E3"/>
    <mergeCell ref="A6:A7"/>
    <mergeCell ref="C6:C7"/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DF5C-8670-4E38-BEDA-423C4AD91599}">
  <sheetPr>
    <pageSetUpPr fitToPage="1"/>
  </sheetPr>
  <dimension ref="A1:K85"/>
  <sheetViews>
    <sheetView showGridLines="0" topLeftCell="A70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145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125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Fev!B59</f>
        <v>7125788.1200000057</v>
      </c>
      <c r="F8" s="18" t="s">
        <v>107</v>
      </c>
      <c r="G8" s="21" t="s">
        <v>151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2687856.15</v>
      </c>
      <c r="H9" s="36">
        <v>1</v>
      </c>
      <c r="I9" s="33"/>
      <c r="J9" s="18" t="s">
        <v>70</v>
      </c>
      <c r="K9" s="26" t="s">
        <v>148</v>
      </c>
    </row>
    <row r="10" spans="1:11" ht="12.95" customHeight="1" thickBot="1" x14ac:dyDescent="0.25">
      <c r="A10" s="4" t="s">
        <v>6</v>
      </c>
      <c r="B10" s="10">
        <v>2687856.15</v>
      </c>
      <c r="C10" s="2">
        <v>1</v>
      </c>
      <c r="F10" s="23" t="s">
        <v>72</v>
      </c>
      <c r="G10" s="16">
        <v>60921.649999999994</v>
      </c>
      <c r="H10" s="36">
        <v>7</v>
      </c>
      <c r="I10" s="33"/>
      <c r="J10" s="18" t="s">
        <v>118</v>
      </c>
      <c r="K10" s="26" t="s">
        <v>149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-323526.18</v>
      </c>
      <c r="H11" s="36">
        <v>15</v>
      </c>
      <c r="I11" s="33"/>
      <c r="J11" s="18" t="s">
        <v>71</v>
      </c>
      <c r="K11" s="26" t="s">
        <v>150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-145899.26</v>
      </c>
      <c r="H12" s="36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-117683.83</v>
      </c>
      <c r="H13" s="36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-11155.27</v>
      </c>
      <c r="H14" s="36">
        <v>19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-31255.109999999997</v>
      </c>
      <c r="H15" s="36">
        <v>21</v>
      </c>
      <c r="I15" s="33"/>
      <c r="J15" s="18" t="s">
        <v>104</v>
      </c>
      <c r="K15" s="26">
        <v>0</v>
      </c>
    </row>
    <row r="16" spans="1:11" ht="12.95" customHeight="1" thickBot="1" x14ac:dyDescent="0.25">
      <c r="A16" s="4" t="s">
        <v>7</v>
      </c>
      <c r="B16" s="10">
        <v>60921.65</v>
      </c>
      <c r="C16" s="2">
        <v>7</v>
      </c>
      <c r="F16" s="23" t="s">
        <v>78</v>
      </c>
      <c r="G16" s="16">
        <v>-33108.740000000005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-199598.17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-411227.31999999995</v>
      </c>
      <c r="H18" s="36">
        <v>28</v>
      </c>
      <c r="I18" s="33"/>
      <c r="J18" s="18" t="s">
        <v>114</v>
      </c>
      <c r="K18" s="26">
        <v>7485112.6699999999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-50048.579999999994</v>
      </c>
      <c r="H19" s="36">
        <v>30</v>
      </c>
      <c r="I19" s="33"/>
      <c r="J19" s="18" t="s">
        <v>106</v>
      </c>
      <c r="K19" s="26">
        <v>61.6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-1653.41</v>
      </c>
      <c r="H20" s="36">
        <v>31</v>
      </c>
      <c r="I20" s="33"/>
      <c r="J20" s="30"/>
      <c r="K20" s="26">
        <f>SUM(K14:K19)</f>
        <v>7485174.2699999996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-6171.0400000000009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-3871.6600000000003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-89.299999999999912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2748777.8</v>
      </c>
      <c r="F24" s="23" t="s">
        <v>85</v>
      </c>
      <c r="G24" s="16">
        <v>-1054103.78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359386.14999999944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629519.65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323526.18-B29-B35</f>
        <v>293461.70999999996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145899.26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27743.190000000002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117683.83-9656.55</f>
        <v>108027.28</v>
      </c>
      <c r="C30" s="2">
        <v>18</v>
      </c>
    </row>
    <row r="31" spans="1:11" ht="12.95" customHeight="1" thickBot="1" x14ac:dyDescent="0.25">
      <c r="A31" s="8" t="s">
        <v>16</v>
      </c>
      <c r="B31" s="10">
        <v>11155.27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</row>
    <row r="33" spans="1:11" ht="12.95" customHeight="1" thickBot="1" x14ac:dyDescent="0.25">
      <c r="A33" s="8" t="s">
        <v>18</v>
      </c>
      <c r="B33" s="10">
        <f>31255.11+9656.55</f>
        <v>40911.660000000003</v>
      </c>
      <c r="C33" s="2">
        <v>21</v>
      </c>
      <c r="F33" s="56" t="s">
        <v>147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6160.8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3495.75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232706.91</v>
      </c>
      <c r="F37" s="12" t="s">
        <v>60</v>
      </c>
      <c r="G37" s="24"/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33108.74</v>
      </c>
      <c r="F38" s="12"/>
      <c r="G38" s="38">
        <f>SUM(G34:G37)</f>
        <v>9656.5499999999993</v>
      </c>
      <c r="H38" s="12"/>
      <c r="I38" s="38"/>
    </row>
    <row r="39" spans="1:11" ht="12.95" customHeight="1" thickBot="1" x14ac:dyDescent="0.25">
      <c r="A39" s="8" t="s">
        <v>22</v>
      </c>
      <c r="B39" s="10">
        <v>33108.74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3963.37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199598.17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461275.9</v>
      </c>
      <c r="F42" s="23" t="s">
        <v>63</v>
      </c>
      <c r="G42" s="24">
        <v>2485.17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411227.32</v>
      </c>
      <c r="C43" s="2">
        <v>28</v>
      </c>
      <c r="F43" s="23" t="s">
        <v>64</v>
      </c>
      <c r="G43" s="24">
        <v>1671.23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50048.58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7006.04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11880.31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6171.04</v>
      </c>
      <c r="C50" s="2">
        <v>34</v>
      </c>
      <c r="F50" s="23" t="s">
        <v>69</v>
      </c>
      <c r="G50" s="24">
        <v>737.07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3871.66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89.299999999999898</v>
      </c>
      <c r="C52" s="2">
        <v>36</v>
      </c>
      <c r="F52" s="13"/>
      <c r="G52" s="37">
        <f>SUM(G40:G51)</f>
        <v>27743.190000000002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146</v>
      </c>
      <c r="G55" s="56"/>
      <c r="H55" s="56"/>
    </row>
    <row r="56" spans="1:9" ht="12.95" customHeight="1" thickBot="1" x14ac:dyDescent="0.25">
      <c r="A56" s="9" t="s">
        <v>39</v>
      </c>
      <c r="B56" s="10">
        <v>1054103.78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2389391.65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359386.14999999991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7485174.2700000051</v>
      </c>
      <c r="G59" s="39">
        <f>SUM(G56:G58)</f>
        <v>2321.2800000000002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Março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2207725.41+5277387.26</f>
        <v>7485112.6699999999</v>
      </c>
    </row>
    <row r="66" spans="1:7" ht="12.95" customHeight="1" thickBot="1" x14ac:dyDescent="0.25">
      <c r="A66" s="4" t="s">
        <v>46</v>
      </c>
      <c r="B66" s="10">
        <v>61.6</v>
      </c>
    </row>
    <row r="67" spans="1:7" ht="12.95" customHeight="1" thickBot="1" x14ac:dyDescent="0.25">
      <c r="A67" s="5" t="s">
        <v>47</v>
      </c>
      <c r="B67" s="11">
        <f>SUM(B64:B66)</f>
        <v>7485174.2699999996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Março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7485174.2699999996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7485174.2699999996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160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Março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5"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  <mergeCell ref="J8:K8"/>
    <mergeCell ref="A1:E1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F147-64E2-48C5-98BB-E64011FEA175}">
  <sheetPr>
    <pageSetUpPr fitToPage="1"/>
  </sheetPr>
  <dimension ref="A1:L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5.7109375" style="2" bestFit="1" customWidth="1"/>
    <col min="9" max="9" width="9.5703125" style="45" bestFit="1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58"/>
      <c r="E1" s="58"/>
    </row>
    <row r="2" spans="1:12" ht="12.95" customHeight="1" x14ac:dyDescent="0.2">
      <c r="A2" s="59" t="s">
        <v>0</v>
      </c>
      <c r="B2" s="59"/>
      <c r="C2" s="59"/>
      <c r="D2" s="59"/>
      <c r="E2" s="59"/>
    </row>
    <row r="3" spans="1:12" ht="12.95" customHeight="1" thickBot="1" x14ac:dyDescent="0.25">
      <c r="A3" s="59" t="s">
        <v>152</v>
      </c>
      <c r="B3" s="59"/>
      <c r="C3" s="59"/>
      <c r="D3" s="59"/>
      <c r="E3" s="59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126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Mar!B59</f>
        <v>7485174.2700000051</v>
      </c>
      <c r="F8" s="18" t="s">
        <v>107</v>
      </c>
      <c r="G8" s="21" t="s">
        <v>153</v>
      </c>
      <c r="H8" s="21" t="s">
        <v>54</v>
      </c>
      <c r="I8" s="31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43" t="s">
        <v>143</v>
      </c>
      <c r="G9" s="13">
        <v>3230360.92</v>
      </c>
      <c r="H9" s="44">
        <v>1</v>
      </c>
      <c r="I9" s="46"/>
      <c r="J9" s="33"/>
      <c r="K9" s="18" t="s">
        <v>70</v>
      </c>
      <c r="L9" s="26" t="s">
        <v>156</v>
      </c>
    </row>
    <row r="10" spans="1:12" ht="12.95" customHeight="1" thickBot="1" x14ac:dyDescent="0.25">
      <c r="A10" s="4" t="s">
        <v>6</v>
      </c>
      <c r="B10" s="10">
        <v>3230360.92</v>
      </c>
      <c r="C10" s="2">
        <v>1</v>
      </c>
      <c r="F10" s="43" t="s">
        <v>72</v>
      </c>
      <c r="G10" s="13">
        <v>78750.760000000009</v>
      </c>
      <c r="H10" s="44">
        <v>7</v>
      </c>
      <c r="I10" s="46"/>
      <c r="J10" s="33"/>
      <c r="K10" s="18" t="s">
        <v>118</v>
      </c>
      <c r="L10" s="26" t="s">
        <v>158</v>
      </c>
    </row>
    <row r="11" spans="1:12" ht="12.95" customHeight="1" thickBot="1" x14ac:dyDescent="0.25">
      <c r="A11" s="4" t="s">
        <v>88</v>
      </c>
      <c r="B11" s="10"/>
      <c r="C11" s="2">
        <v>2</v>
      </c>
      <c r="F11" s="43" t="s">
        <v>161</v>
      </c>
      <c r="G11" s="13">
        <v>13.49</v>
      </c>
      <c r="H11" s="44">
        <v>13</v>
      </c>
      <c r="I11" s="46"/>
      <c r="J11" s="33"/>
      <c r="K11" s="18" t="s">
        <v>71</v>
      </c>
      <c r="L11" s="26" t="s">
        <v>157</v>
      </c>
    </row>
    <row r="12" spans="1:12" ht="12.95" customHeight="1" thickBot="1" x14ac:dyDescent="0.25">
      <c r="A12" s="4" t="s">
        <v>89</v>
      </c>
      <c r="B12" s="10"/>
      <c r="C12" s="2">
        <v>3</v>
      </c>
      <c r="F12" s="43" t="s">
        <v>73</v>
      </c>
      <c r="G12" s="13">
        <v>-318137.13</v>
      </c>
      <c r="H12" s="44">
        <v>15</v>
      </c>
      <c r="I12" s="46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43" t="s">
        <v>74</v>
      </c>
      <c r="G13" s="13">
        <v>-162100.01000000004</v>
      </c>
      <c r="H13" s="44">
        <v>16</v>
      </c>
      <c r="I13" s="46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43" t="s">
        <v>75</v>
      </c>
      <c r="G14" s="13">
        <v>-113691.39</v>
      </c>
      <c r="H14" s="44">
        <v>18</v>
      </c>
      <c r="I14" s="46"/>
      <c r="J14" s="33"/>
      <c r="K14" s="18" t="s">
        <v>114</v>
      </c>
      <c r="L14" s="26">
        <v>3123393.04</v>
      </c>
    </row>
    <row r="15" spans="1:12" ht="12.95" customHeight="1" thickBot="1" x14ac:dyDescent="0.25">
      <c r="A15" s="4" t="s">
        <v>92</v>
      </c>
      <c r="B15" s="10"/>
      <c r="C15" s="2">
        <v>6</v>
      </c>
      <c r="F15" s="43" t="s">
        <v>86</v>
      </c>
      <c r="G15" s="13">
        <v>-14740.28</v>
      </c>
      <c r="H15" s="44">
        <v>19</v>
      </c>
      <c r="I15" s="46"/>
      <c r="J15" s="33"/>
      <c r="K15" s="18" t="s">
        <v>159</v>
      </c>
      <c r="L15" s="26">
        <v>5481226.9500000002</v>
      </c>
    </row>
    <row r="16" spans="1:12" ht="12.95" customHeight="1" thickBot="1" x14ac:dyDescent="0.25">
      <c r="A16" s="4" t="s">
        <v>7</v>
      </c>
      <c r="B16" s="10">
        <v>78750.759999999995</v>
      </c>
      <c r="C16" s="2">
        <v>7</v>
      </c>
      <c r="F16" s="43" t="s">
        <v>77</v>
      </c>
      <c r="G16" s="13">
        <v>-33547.58</v>
      </c>
      <c r="H16" s="44">
        <v>21</v>
      </c>
      <c r="I16" s="46"/>
      <c r="J16" s="33"/>
      <c r="K16" s="18" t="s">
        <v>106</v>
      </c>
      <c r="L16" s="26">
        <v>206.95</v>
      </c>
    </row>
    <row r="17" spans="1:12" ht="12.95" customHeight="1" thickBot="1" x14ac:dyDescent="0.25">
      <c r="A17" s="4" t="s">
        <v>93</v>
      </c>
      <c r="B17" s="10"/>
      <c r="C17" s="2">
        <v>8</v>
      </c>
      <c r="F17" s="43" t="s">
        <v>78</v>
      </c>
      <c r="G17" s="13">
        <v>-50104.78</v>
      </c>
      <c r="H17" s="44">
        <v>25</v>
      </c>
      <c r="I17" s="46"/>
      <c r="J17" s="33"/>
      <c r="K17" s="30"/>
      <c r="L17" s="26">
        <f>SUM(L14:L16)</f>
        <v>8604826.9399999995</v>
      </c>
    </row>
    <row r="18" spans="1:12" ht="12.95" customHeight="1" thickBot="1" x14ac:dyDescent="0.25">
      <c r="A18" s="4" t="s">
        <v>94</v>
      </c>
      <c r="B18" s="10"/>
      <c r="C18" s="2">
        <v>9</v>
      </c>
      <c r="F18" s="43" t="s">
        <v>79</v>
      </c>
      <c r="G18" s="13">
        <v>-196349.97</v>
      </c>
      <c r="H18" s="44">
        <v>27</v>
      </c>
      <c r="I18" s="46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43" t="s">
        <v>80</v>
      </c>
      <c r="G19" s="13">
        <v>-292565.48999999993</v>
      </c>
      <c r="H19" s="44">
        <v>28</v>
      </c>
      <c r="I19" s="46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43" t="s">
        <v>81</v>
      </c>
      <c r="G20" s="13">
        <v>-38709.97</v>
      </c>
      <c r="H20" s="44">
        <v>30</v>
      </c>
      <c r="I20" s="46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43" t="s">
        <v>87</v>
      </c>
      <c r="G21" s="13">
        <v>-1653.41</v>
      </c>
      <c r="H21" s="44">
        <v>31</v>
      </c>
      <c r="I21" s="46"/>
      <c r="J21" s="33"/>
    </row>
    <row r="22" spans="1:12" ht="12.95" customHeight="1" thickBot="1" x14ac:dyDescent="0.25">
      <c r="A22" s="4" t="s">
        <v>97</v>
      </c>
      <c r="B22" s="10">
        <v>13.49</v>
      </c>
      <c r="C22" s="2">
        <v>13</v>
      </c>
      <c r="F22" s="43" t="s">
        <v>82</v>
      </c>
      <c r="G22" s="13">
        <v>-14307.72</v>
      </c>
      <c r="H22" s="44">
        <v>34</v>
      </c>
      <c r="I22" s="46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43" t="s">
        <v>83</v>
      </c>
      <c r="G23" s="13">
        <v>-788.72</v>
      </c>
      <c r="H23" s="44">
        <v>35</v>
      </c>
      <c r="I23" s="46"/>
      <c r="J23" s="33"/>
    </row>
    <row r="24" spans="1:12" ht="12.95" customHeight="1" thickBot="1" x14ac:dyDescent="0.25">
      <c r="A24" s="5" t="s">
        <v>9</v>
      </c>
      <c r="B24" s="11">
        <f>SUM(B10:B23)</f>
        <v>3309125.17</v>
      </c>
      <c r="F24" s="43" t="s">
        <v>84</v>
      </c>
      <c r="G24" s="13">
        <v>-66.2</v>
      </c>
      <c r="H24" s="44">
        <v>36</v>
      </c>
      <c r="I24" s="46"/>
      <c r="J24" s="34"/>
    </row>
    <row r="25" spans="1:12" ht="12.95" customHeight="1" thickBot="1" x14ac:dyDescent="0.25">
      <c r="A25" s="7" t="s">
        <v>10</v>
      </c>
      <c r="B25" s="14"/>
      <c r="F25" s="43" t="s">
        <v>85</v>
      </c>
      <c r="G25" s="13">
        <v>-952709.85</v>
      </c>
      <c r="H25" s="44">
        <v>40</v>
      </c>
      <c r="I25" s="46"/>
      <c r="J25" s="33"/>
    </row>
    <row r="26" spans="1:12" ht="12.95" customHeight="1" thickBot="1" x14ac:dyDescent="0.25">
      <c r="A26" s="5" t="s">
        <v>11</v>
      </c>
      <c r="B26" s="11">
        <f>SUM(B27:B36)</f>
        <v>642216.39</v>
      </c>
      <c r="F26" s="19" t="s">
        <v>56</v>
      </c>
      <c r="G26" s="20">
        <f>SUBTOTAL(9,G9:G25)</f>
        <v>1119652.6700000004</v>
      </c>
      <c r="H26" s="20"/>
      <c r="I26" s="32"/>
      <c r="J26" s="33"/>
    </row>
    <row r="27" spans="1:12" ht="12.95" customHeight="1" thickBot="1" x14ac:dyDescent="0.25">
      <c r="A27" s="8" t="s">
        <v>12</v>
      </c>
      <c r="B27" s="10">
        <f>318137.13-B29-B35</f>
        <v>295875.86</v>
      </c>
      <c r="C27" s="2">
        <v>15</v>
      </c>
      <c r="F27" s="23"/>
      <c r="G27" s="16"/>
      <c r="H27" s="12"/>
      <c r="I27" s="24"/>
      <c r="J27" s="33"/>
    </row>
    <row r="28" spans="1:12" ht="12.95" customHeight="1" thickBot="1" x14ac:dyDescent="0.25">
      <c r="A28" s="8" t="s">
        <v>13</v>
      </c>
      <c r="B28" s="10">
        <v>162100.01</v>
      </c>
      <c r="C28" s="2">
        <v>16</v>
      </c>
      <c r="J28" s="32"/>
    </row>
    <row r="29" spans="1:12" ht="12.95" customHeight="1" thickBot="1" x14ac:dyDescent="0.25">
      <c r="A29" s="8" t="s">
        <v>14</v>
      </c>
      <c r="B29" s="10">
        <v>19939.989999999998</v>
      </c>
      <c r="C29" s="2">
        <v>17</v>
      </c>
      <c r="F29" s="13"/>
    </row>
    <row r="30" spans="1:12" ht="12.95" customHeight="1" thickBot="1" x14ac:dyDescent="0.25">
      <c r="A30" s="8" t="s">
        <v>15</v>
      </c>
      <c r="B30" s="10">
        <f>113691.39-12104.5</f>
        <v>101586.89</v>
      </c>
      <c r="C30" s="2">
        <v>18</v>
      </c>
    </row>
    <row r="31" spans="1:12" ht="12.95" customHeight="1" thickBot="1" x14ac:dyDescent="0.25">
      <c r="A31" s="8" t="s">
        <v>16</v>
      </c>
      <c r="B31" s="10">
        <v>14740.28</v>
      </c>
      <c r="C31" s="2">
        <v>19</v>
      </c>
    </row>
    <row r="32" spans="1:12" ht="12.95" customHeight="1" thickBot="1" x14ac:dyDescent="0.25">
      <c r="A32" s="8" t="s">
        <v>17</v>
      </c>
      <c r="B32" s="10">
        <f>102.97</f>
        <v>102.97</v>
      </c>
      <c r="C32" s="2">
        <v>20</v>
      </c>
    </row>
    <row r="33" spans="1:12" ht="12.95" customHeight="1" thickBot="1" x14ac:dyDescent="0.25">
      <c r="A33" s="8" t="s">
        <v>18</v>
      </c>
      <c r="B33" s="10">
        <f>33547.58+12001.53</f>
        <v>45549.11</v>
      </c>
      <c r="C33" s="2">
        <v>21</v>
      </c>
      <c r="F33" s="56" t="s">
        <v>154</v>
      </c>
      <c r="G33" s="56"/>
      <c r="H33" s="56"/>
      <c r="I33" s="47"/>
      <c r="J33" s="28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7013.13</v>
      </c>
      <c r="H34" s="12">
        <v>21</v>
      </c>
      <c r="I34" s="24"/>
      <c r="J34" s="16"/>
    </row>
    <row r="35" spans="1:12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4988.3999999999996</v>
      </c>
      <c r="H35" s="12">
        <v>21</v>
      </c>
      <c r="I35" s="24"/>
      <c r="J35" s="12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24"/>
      <c r="J36" s="16"/>
    </row>
    <row r="37" spans="1:12" ht="12.95" customHeight="1" thickBot="1" x14ac:dyDescent="0.25">
      <c r="A37" s="5" t="s">
        <v>20</v>
      </c>
      <c r="B37" s="11">
        <f>B38+B41</f>
        <v>246454.75</v>
      </c>
      <c r="F37" s="12" t="s">
        <v>60</v>
      </c>
      <c r="G37" s="24">
        <v>102.97</v>
      </c>
      <c r="H37" s="12">
        <v>20</v>
      </c>
      <c r="I37" s="24"/>
      <c r="J37" s="16"/>
    </row>
    <row r="38" spans="1:12" ht="12.95" customHeight="1" thickBot="1" x14ac:dyDescent="0.25">
      <c r="A38" s="5" t="s">
        <v>21</v>
      </c>
      <c r="B38" s="11">
        <f>SUM(B39:B40)</f>
        <v>50104.78</v>
      </c>
      <c r="F38" s="12"/>
      <c r="G38" s="38">
        <f>SUM(G34:G37)</f>
        <v>12104.499999999998</v>
      </c>
      <c r="H38" s="12"/>
      <c r="I38" s="24"/>
      <c r="J38" s="38"/>
    </row>
    <row r="39" spans="1:12" ht="12.95" customHeight="1" thickBot="1" x14ac:dyDescent="0.25">
      <c r="A39" s="8" t="s">
        <v>22</v>
      </c>
      <c r="B39" s="10">
        <v>50104.78</v>
      </c>
      <c r="C39" s="2">
        <v>25</v>
      </c>
      <c r="F39" s="12"/>
      <c r="G39" s="12"/>
      <c r="H39" s="12"/>
      <c r="I39" s="24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3313.91</v>
      </c>
      <c r="H40" s="12">
        <v>17</v>
      </c>
      <c r="I40" s="24"/>
      <c r="J40" s="12"/>
    </row>
    <row r="41" spans="1:12" ht="12.95" customHeight="1" thickBot="1" x14ac:dyDescent="0.25">
      <c r="A41" s="9" t="s">
        <v>24</v>
      </c>
      <c r="B41" s="10">
        <v>196349.97</v>
      </c>
      <c r="C41" s="2">
        <v>27</v>
      </c>
      <c r="F41" s="23" t="s">
        <v>62</v>
      </c>
      <c r="G41" s="24"/>
      <c r="H41" s="12">
        <v>17</v>
      </c>
      <c r="I41" s="24"/>
      <c r="J41" s="12"/>
    </row>
    <row r="42" spans="1:12" ht="12.95" customHeight="1" thickBot="1" x14ac:dyDescent="0.25">
      <c r="A42" s="5" t="s">
        <v>25</v>
      </c>
      <c r="B42" s="11">
        <f>SUM(B43:B45)</f>
        <v>331275.45999999996</v>
      </c>
      <c r="F42" s="23" t="s">
        <v>63</v>
      </c>
      <c r="G42" s="24">
        <v>2164.63</v>
      </c>
      <c r="H42" s="12">
        <v>17</v>
      </c>
      <c r="I42" s="24"/>
      <c r="J42" s="12"/>
      <c r="K42" s="17"/>
    </row>
    <row r="43" spans="1:12" ht="12.95" customHeight="1" thickBot="1" x14ac:dyDescent="0.25">
      <c r="A43" s="8" t="s">
        <v>26</v>
      </c>
      <c r="B43" s="10">
        <v>292565.49</v>
      </c>
      <c r="C43" s="2">
        <v>28</v>
      </c>
      <c r="F43" s="23" t="s">
        <v>64</v>
      </c>
      <c r="G43" s="24">
        <v>358.63</v>
      </c>
      <c r="H43" s="12">
        <v>17</v>
      </c>
      <c r="I43" s="24"/>
      <c r="J43" s="12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24"/>
      <c r="J44" s="12"/>
      <c r="L44" s="17"/>
    </row>
    <row r="45" spans="1:12" ht="12.95" customHeight="1" thickBot="1" x14ac:dyDescent="0.25">
      <c r="A45" s="8" t="s">
        <v>28</v>
      </c>
      <c r="B45" s="10">
        <v>38709.97</v>
      </c>
      <c r="C45" s="2">
        <v>30</v>
      </c>
      <c r="F45" s="23" t="s">
        <v>108</v>
      </c>
      <c r="G45" s="24"/>
      <c r="H45" s="12">
        <v>17</v>
      </c>
      <c r="I45" s="24"/>
      <c r="J45" s="12"/>
    </row>
    <row r="46" spans="1:12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24"/>
      <c r="J46" s="12"/>
    </row>
    <row r="47" spans="1:12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24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24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14102.82</v>
      </c>
      <c r="H49" s="12">
        <v>17</v>
      </c>
      <c r="I49" s="24"/>
      <c r="J49" s="12"/>
    </row>
    <row r="50" spans="1:10" ht="12.95" customHeight="1" thickBot="1" x14ac:dyDescent="0.25">
      <c r="A50" s="9" t="s">
        <v>33</v>
      </c>
      <c r="B50" s="10">
        <v>14307.72</v>
      </c>
      <c r="C50" s="2">
        <v>34</v>
      </c>
      <c r="F50" s="23" t="s">
        <v>69</v>
      </c>
      <c r="G50" s="24"/>
      <c r="H50" s="12">
        <v>17</v>
      </c>
      <c r="I50" s="24"/>
      <c r="J50" s="12"/>
    </row>
    <row r="51" spans="1:10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24"/>
      <c r="J51" s="12"/>
    </row>
    <row r="52" spans="1:10" ht="12.95" customHeight="1" thickBot="1" x14ac:dyDescent="0.25">
      <c r="A52" s="9" t="s">
        <v>35</v>
      </c>
      <c r="B52" s="10">
        <v>66.2</v>
      </c>
      <c r="C52" s="2">
        <v>36</v>
      </c>
      <c r="F52" s="13"/>
      <c r="G52" s="37">
        <f>SUM(G40:G51)</f>
        <v>19939.989999999998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  <c r="F55" s="56" t="s">
        <v>155</v>
      </c>
      <c r="G55" s="56"/>
      <c r="H55" s="56"/>
      <c r="I55" s="47"/>
    </row>
    <row r="56" spans="1:10" ht="12.95" customHeight="1" thickBot="1" x14ac:dyDescent="0.25">
      <c r="A56" s="9" t="s">
        <v>39</v>
      </c>
      <c r="B56" s="10">
        <v>952709.85</v>
      </c>
      <c r="C56" s="2">
        <v>40</v>
      </c>
      <c r="F56" s="23" t="s">
        <v>111</v>
      </c>
      <c r="G56" s="24"/>
      <c r="H56" s="12">
        <v>23</v>
      </c>
      <c r="I56" s="24"/>
    </row>
    <row r="57" spans="1:10" ht="12.95" customHeight="1" thickBot="1" x14ac:dyDescent="0.25">
      <c r="A57" s="5" t="s">
        <v>40</v>
      </c>
      <c r="B57" s="11">
        <f>B26+B37+B42+B46+B50+B51+B52+B53+B54+B55+B56</f>
        <v>2189472.5</v>
      </c>
      <c r="F57" s="23" t="s">
        <v>112</v>
      </c>
      <c r="G57" s="24">
        <v>2321.2800000000002</v>
      </c>
      <c r="H57" s="12">
        <v>23</v>
      </c>
      <c r="I57" s="24"/>
    </row>
    <row r="58" spans="1:10" ht="12.95" customHeight="1" thickBot="1" x14ac:dyDescent="0.25">
      <c r="A58" s="5" t="s">
        <v>41</v>
      </c>
      <c r="B58" s="11">
        <f>B24-B57</f>
        <v>1119652.67</v>
      </c>
      <c r="F58" s="23" t="s">
        <v>115</v>
      </c>
      <c r="G58" s="24"/>
      <c r="H58" s="12">
        <v>23</v>
      </c>
      <c r="I58" s="24"/>
      <c r="J58" s="12"/>
    </row>
    <row r="59" spans="1:10" ht="12.95" customHeight="1" thickBot="1" x14ac:dyDescent="0.25">
      <c r="A59" s="5" t="s">
        <v>42</v>
      </c>
      <c r="B59" s="11">
        <f>B8+B24-B57</f>
        <v>8604826.9400000051</v>
      </c>
      <c r="G59" s="48">
        <f>SUM(G56:G58)</f>
        <v>2321.2800000000002</v>
      </c>
    </row>
    <row r="60" spans="1:10" ht="12.95" customHeight="1" x14ac:dyDescent="0.2">
      <c r="A60" s="6"/>
    </row>
    <row r="61" spans="1:10" ht="12.95" customHeight="1" thickBot="1" x14ac:dyDescent="0.25">
      <c r="A61" s="62" t="s">
        <v>43</v>
      </c>
      <c r="B61" s="62"/>
      <c r="C61" s="62"/>
      <c r="D61" s="62"/>
      <c r="E61" s="62"/>
    </row>
    <row r="62" spans="1:10" ht="12.95" customHeight="1" thickBot="1" x14ac:dyDescent="0.25">
      <c r="A62" s="60"/>
      <c r="B62" s="3" t="str">
        <f>B6</f>
        <v>Abril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5481226.95+3123393.04</f>
        <v>8604619.9900000002</v>
      </c>
    </row>
    <row r="66" spans="1:7" ht="12.95" customHeight="1" thickBot="1" x14ac:dyDescent="0.25">
      <c r="A66" s="4" t="s">
        <v>46</v>
      </c>
      <c r="B66" s="10">
        <v>206.95</v>
      </c>
    </row>
    <row r="67" spans="1:7" ht="12.95" customHeight="1" thickBot="1" x14ac:dyDescent="0.25">
      <c r="A67" s="5" t="s">
        <v>47</v>
      </c>
      <c r="B67" s="11">
        <f>SUM(B64:B66)</f>
        <v>8604826.9399999995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Abril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8604826.9399999995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8604826.9399999995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162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Abril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A1:E1"/>
    <mergeCell ref="A70:A71"/>
    <mergeCell ref="A76:E76"/>
    <mergeCell ref="C77:F79"/>
    <mergeCell ref="K13:L13"/>
    <mergeCell ref="F33:H33"/>
    <mergeCell ref="F55:H55"/>
    <mergeCell ref="A61:E61"/>
    <mergeCell ref="A62:A63"/>
    <mergeCell ref="A69:E69"/>
    <mergeCell ref="K8:L8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4226-B49E-4CEC-9214-46C8BE814B27}">
  <sheetPr>
    <pageSetUpPr fitToPage="1"/>
  </sheetPr>
  <dimension ref="A1:K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164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127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Abr!B59</f>
        <v>8604826.9400000051</v>
      </c>
      <c r="F8" s="18" t="s">
        <v>107</v>
      </c>
      <c r="G8" s="21" t="s">
        <v>170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3260330.45</v>
      </c>
      <c r="H9" s="44">
        <v>1</v>
      </c>
      <c r="I9" s="33"/>
      <c r="J9" s="18" t="s">
        <v>70</v>
      </c>
      <c r="K9" s="26" t="s">
        <v>165</v>
      </c>
    </row>
    <row r="10" spans="1:11" ht="12.95" customHeight="1" thickBot="1" x14ac:dyDescent="0.25">
      <c r="A10" s="4" t="s">
        <v>6</v>
      </c>
      <c r="B10" s="10">
        <v>3260330.45</v>
      </c>
      <c r="C10" s="2">
        <v>1</v>
      </c>
      <c r="F10" s="23" t="s">
        <v>72</v>
      </c>
      <c r="G10" s="16">
        <v>94201.500000000015</v>
      </c>
      <c r="H10" s="44">
        <v>7</v>
      </c>
      <c r="I10" s="33"/>
      <c r="J10" s="18" t="s">
        <v>118</v>
      </c>
      <c r="K10" s="26" t="s">
        <v>166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/>
      <c r="H11" s="44">
        <v>13</v>
      </c>
      <c r="I11" s="33"/>
      <c r="J11" s="18" t="s">
        <v>71</v>
      </c>
      <c r="K11" s="26" t="s">
        <v>167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-338742.68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-151439.08000000005</v>
      </c>
      <c r="H13" s="44">
        <v>16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-114107.62</v>
      </c>
      <c r="H14" s="44">
        <v>18</v>
      </c>
      <c r="I14" s="33"/>
      <c r="J14" s="18" t="s">
        <v>114</v>
      </c>
      <c r="K14" s="26">
        <v>3217741.47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/>
      <c r="H15" s="44">
        <v>19</v>
      </c>
      <c r="I15" s="33"/>
      <c r="J15" s="18" t="s">
        <v>159</v>
      </c>
      <c r="K15" s="26">
        <v>5540763.46</v>
      </c>
    </row>
    <row r="16" spans="1:11" ht="12.95" customHeight="1" thickBot="1" x14ac:dyDescent="0.25">
      <c r="A16" s="4" t="s">
        <v>7</v>
      </c>
      <c r="B16" s="10">
        <v>94201.5</v>
      </c>
      <c r="C16" s="2">
        <v>7</v>
      </c>
      <c r="F16" s="23" t="s">
        <v>77</v>
      </c>
      <c r="G16" s="16">
        <v>-24888.660000000003</v>
      </c>
      <c r="H16" s="44">
        <v>21</v>
      </c>
      <c r="I16" s="33"/>
      <c r="J16" s="18" t="s">
        <v>106</v>
      </c>
      <c r="K16" s="26">
        <v>87.61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-37095.130000000005</v>
      </c>
      <c r="H17" s="44">
        <v>25</v>
      </c>
      <c r="I17" s="33"/>
      <c r="J17" s="30"/>
      <c r="K17" s="26">
        <f>SUM(K14:K16)</f>
        <v>8758592.5399999991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-265367.45999999996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-614328.46999999986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-38412.480000000003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87</v>
      </c>
      <c r="G21" s="16">
        <v>-1680.91</v>
      </c>
      <c r="H21" s="44">
        <v>31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82</v>
      </c>
      <c r="G22" s="16">
        <v>-8192.9600000000009</v>
      </c>
      <c r="H22" s="44">
        <v>34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-2818.48</v>
      </c>
      <c r="H23" s="44">
        <v>35</v>
      </c>
      <c r="I23" s="33"/>
    </row>
    <row r="24" spans="1:11" ht="12.95" customHeight="1" thickBot="1" x14ac:dyDescent="0.25">
      <c r="A24" s="5" t="s">
        <v>9</v>
      </c>
      <c r="B24" s="11">
        <f>SUM(B10:B23)</f>
        <v>3354531.95</v>
      </c>
      <c r="F24" s="23" t="s">
        <v>84</v>
      </c>
      <c r="G24" s="16">
        <v>-69.19</v>
      </c>
      <c r="H24" s="44">
        <v>36</v>
      </c>
      <c r="I24" s="3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-1603623.2300000002</v>
      </c>
      <c r="H25" s="44">
        <v>40</v>
      </c>
      <c r="I25" s="33"/>
    </row>
    <row r="26" spans="1:11" ht="12.95" customHeight="1" thickBot="1" x14ac:dyDescent="0.25">
      <c r="A26" s="5" t="s">
        <v>11</v>
      </c>
      <c r="B26" s="11">
        <f>SUM(B27:B36)</f>
        <v>629178.04000000015</v>
      </c>
      <c r="F26" s="19" t="s">
        <v>56</v>
      </c>
      <c r="G26" s="20">
        <f>SUBTOTAL(9,G9:G25)</f>
        <v>153765.60000000009</v>
      </c>
      <c r="H26" s="20"/>
      <c r="I26" s="33"/>
    </row>
    <row r="27" spans="1:11" ht="12.95" customHeight="1" thickBot="1" x14ac:dyDescent="0.25">
      <c r="A27" s="8" t="s">
        <v>12</v>
      </c>
      <c r="B27" s="10">
        <f>338742.68-B29-B35</f>
        <v>318663.12999999995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151439.07999999999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17758.27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114107.62-1230.46</f>
        <v>112877.15999999999</v>
      </c>
      <c r="C30" s="2">
        <v>18</v>
      </c>
    </row>
    <row r="31" spans="1:11" ht="12.95" customHeight="1" thickBot="1" x14ac:dyDescent="0.25">
      <c r="A31" s="8" t="s">
        <v>16</v>
      </c>
      <c r="B31" s="10"/>
      <c r="C31" s="2">
        <v>19</v>
      </c>
    </row>
    <row r="32" spans="1:11" ht="12.95" customHeight="1" thickBot="1" x14ac:dyDescent="0.25">
      <c r="A32" s="8" t="s">
        <v>17</v>
      </c>
      <c r="B32" s="10">
        <f>86.81</f>
        <v>86.81</v>
      </c>
      <c r="C32" s="2">
        <v>20</v>
      </c>
    </row>
    <row r="33" spans="1:11" ht="12.95" customHeight="1" thickBot="1" x14ac:dyDescent="0.25">
      <c r="A33" s="8" t="s">
        <v>18</v>
      </c>
      <c r="B33" s="10">
        <f>24888.66+1143.65</f>
        <v>26032.31</v>
      </c>
      <c r="C33" s="2">
        <v>21</v>
      </c>
      <c r="F33" s="56" t="s">
        <v>168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1124.3900000000001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19.260000000000002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302462.59000000003</v>
      </c>
      <c r="F37" s="12" t="s">
        <v>60</v>
      </c>
      <c r="G37" s="24">
        <v>86.81</v>
      </c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37095.129999999997</v>
      </c>
      <c r="F38" s="12"/>
      <c r="G38" s="38">
        <f>SUM(G34:G37)</f>
        <v>1230.46</v>
      </c>
      <c r="H38" s="12"/>
      <c r="I38" s="38"/>
    </row>
    <row r="39" spans="1:11" ht="12.95" customHeight="1" thickBot="1" x14ac:dyDescent="0.25">
      <c r="A39" s="8" t="s">
        <v>22</v>
      </c>
      <c r="B39" s="10">
        <v>37095.129999999997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2509.4299999999998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265367.46000000002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652740.94999999995</v>
      </c>
      <c r="F42" s="23" t="s">
        <v>63</v>
      </c>
      <c r="G42" s="24">
        <v>3285.08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614328.47</v>
      </c>
      <c r="C43" s="2">
        <v>28</v>
      </c>
      <c r="F43" s="23" t="s">
        <v>64</v>
      </c>
      <c r="G43" s="24">
        <v>893.94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38412.480000000003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1680.91</v>
      </c>
      <c r="C47" s="2">
        <v>31</v>
      </c>
      <c r="F47" s="23" t="s">
        <v>66</v>
      </c>
      <c r="G47" s="24">
        <v>171.14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10273.4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8192.9599999999991</v>
      </c>
      <c r="C50" s="2">
        <v>34</v>
      </c>
      <c r="F50" s="23" t="s">
        <v>69</v>
      </c>
      <c r="G50" s="24">
        <v>625.28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2818.48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69.19</v>
      </c>
      <c r="C52" s="2">
        <v>36</v>
      </c>
      <c r="F52" s="13"/>
      <c r="G52" s="37">
        <f>SUM(G40:G51)</f>
        <v>17758.27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169</v>
      </c>
      <c r="G55" s="56"/>
      <c r="H55" s="56"/>
    </row>
    <row r="56" spans="1:9" ht="12.95" customHeight="1" thickBot="1" x14ac:dyDescent="0.25">
      <c r="A56" s="9" t="s">
        <v>39</v>
      </c>
      <c r="B56" s="10">
        <v>1603623.23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3200766.3499999996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153765.60000000056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8758592.5400000047</v>
      </c>
      <c r="F59" s="13"/>
      <c r="G59" s="37">
        <f>SUM(G56:G58)</f>
        <v>2321.2800000000002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Maio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5540763.46+3217741.47</f>
        <v>8758504.9299999997</v>
      </c>
    </row>
    <row r="66" spans="1:7" ht="12.95" customHeight="1" thickBot="1" x14ac:dyDescent="0.25">
      <c r="A66" s="4" t="s">
        <v>46</v>
      </c>
      <c r="B66" s="10">
        <v>87.61</v>
      </c>
    </row>
    <row r="67" spans="1:7" ht="12.95" customHeight="1" thickBot="1" x14ac:dyDescent="0.25">
      <c r="A67" s="5" t="s">
        <v>47</v>
      </c>
      <c r="B67" s="11">
        <f>SUM(B64:B66)</f>
        <v>8758592.5399999991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Maio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8758592.5399999991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8758592.5399999991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171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Maio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49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  <mergeCell ref="J8:K8"/>
    <mergeCell ref="A1:E1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10DA-6A0C-41E2-9088-6D1E383A1C29}">
  <sheetPr>
    <pageSetUpPr fitToPage="1"/>
  </sheetPr>
  <dimension ref="A1:K84"/>
  <sheetViews>
    <sheetView showGridLines="0" topLeftCell="A73" zoomScaleNormal="100" workbookViewId="0">
      <selection activeCell="B35" sqref="B35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4.8554687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172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128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Mai!B59</f>
        <v>8758592.5400000047</v>
      </c>
      <c r="F8" s="18" t="s">
        <v>107</v>
      </c>
      <c r="G8" s="21" t="s">
        <v>173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3490808.31</v>
      </c>
      <c r="H9" s="44">
        <v>1</v>
      </c>
      <c r="I9" s="33"/>
      <c r="J9" s="18" t="s">
        <v>70</v>
      </c>
      <c r="K9" s="26" t="s">
        <v>176</v>
      </c>
    </row>
    <row r="10" spans="1:11" ht="12.95" customHeight="1" thickBot="1" x14ac:dyDescent="0.25">
      <c r="A10" s="4" t="s">
        <v>6</v>
      </c>
      <c r="B10" s="10">
        <v>3490808.31</v>
      </c>
      <c r="C10" s="2">
        <v>1</v>
      </c>
      <c r="F10" s="23" t="s">
        <v>72</v>
      </c>
      <c r="G10" s="16">
        <v>99758.49</v>
      </c>
      <c r="H10" s="44">
        <v>7</v>
      </c>
      <c r="I10" s="33"/>
      <c r="J10" s="18" t="s">
        <v>118</v>
      </c>
      <c r="K10" s="26" t="s">
        <v>177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-346612.01</v>
      </c>
      <c r="H11" s="44">
        <v>15</v>
      </c>
      <c r="I11" s="33"/>
      <c r="J11" s="18" t="s">
        <v>71</v>
      </c>
      <c r="K11" s="26" t="s">
        <v>178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-155171.61000000002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-114901.04999999999</v>
      </c>
      <c r="H13" s="44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-3840.98</v>
      </c>
      <c r="H14" s="44">
        <v>19</v>
      </c>
      <c r="I14" s="33"/>
      <c r="J14" s="18" t="s">
        <v>114</v>
      </c>
      <c r="K14" s="26">
        <v>2448341.96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-62903.929999999993</v>
      </c>
      <c r="H15" s="44">
        <v>21</v>
      </c>
      <c r="I15" s="33"/>
      <c r="J15" s="18" t="s">
        <v>159</v>
      </c>
      <c r="K15" s="26">
        <v>7245265.0499999998</v>
      </c>
    </row>
    <row r="16" spans="1:11" ht="12.95" customHeight="1" thickBot="1" x14ac:dyDescent="0.25">
      <c r="A16" s="4" t="s">
        <v>7</v>
      </c>
      <c r="B16" s="10">
        <v>99758.49</v>
      </c>
      <c r="C16" s="2">
        <v>7</v>
      </c>
      <c r="F16" s="23" t="s">
        <v>78</v>
      </c>
      <c r="G16" s="16">
        <v>-41786.570000000007</v>
      </c>
      <c r="H16" s="44">
        <v>25</v>
      </c>
      <c r="I16" s="33"/>
      <c r="J16" s="18" t="s">
        <v>106</v>
      </c>
      <c r="K16" s="26">
        <v>844.05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-224228.51999999996</v>
      </c>
      <c r="H17" s="44">
        <v>27</v>
      </c>
      <c r="I17" s="33"/>
      <c r="J17" s="30"/>
      <c r="K17" s="26">
        <f>SUM(K14:K16)</f>
        <v>9694451.0600000005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-577927.89999999991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-35095.039999999994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-1680.8999999999999</v>
      </c>
      <c r="H20" s="44">
        <v>31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-10344.880000000001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-20.799999999999997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3590566.8000000003</v>
      </c>
      <c r="F24" s="23" t="s">
        <v>85</v>
      </c>
      <c r="G24" s="16">
        <v>-1079405.3700000001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935858.52000000048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683429.58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346612.01-B29-B35</f>
        <v>309198.28999999998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155171.60999999999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35550.449999999997</v>
      </c>
      <c r="C29" s="2">
        <v>17</v>
      </c>
    </row>
    <row r="30" spans="1:11" ht="12.95" customHeight="1" thickBot="1" x14ac:dyDescent="0.25">
      <c r="A30" s="8" t="s">
        <v>15</v>
      </c>
      <c r="B30" s="10">
        <f>114901.05-6400.56</f>
        <v>108500.49</v>
      </c>
      <c r="C30" s="2">
        <v>18</v>
      </c>
    </row>
    <row r="31" spans="1:11" ht="12.95" customHeight="1" thickBot="1" x14ac:dyDescent="0.25">
      <c r="A31" s="8" t="s">
        <v>16</v>
      </c>
      <c r="B31" s="10">
        <v>3840.98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  <c r="F32" s="56" t="s">
        <v>174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62903.93+6400.56</f>
        <v>69304.490000000005</v>
      </c>
      <c r="C33" s="2">
        <v>21</v>
      </c>
      <c r="F33" s="12" t="s">
        <v>57</v>
      </c>
      <c r="G33" s="40">
        <v>3799.4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2601.16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>
        <v>1863.27</v>
      </c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266015.08999999997</v>
      </c>
      <c r="F37" s="12"/>
      <c r="G37" s="38">
        <f>SUM(G33:G36)</f>
        <v>6400.5599999999995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41786.57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41786.57</v>
      </c>
      <c r="C39" s="2">
        <v>25</v>
      </c>
      <c r="F39" s="23" t="s">
        <v>61</v>
      </c>
      <c r="G39" s="24">
        <v>4724.2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224228.52</v>
      </c>
      <c r="C41" s="2">
        <v>27</v>
      </c>
      <c r="F41" s="23" t="s">
        <v>63</v>
      </c>
      <c r="G41" s="24">
        <v>1792.12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613022.94000000006</v>
      </c>
      <c r="F42" s="23" t="s">
        <v>64</v>
      </c>
      <c r="G42" s="24">
        <v>317.57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577927.9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35095.040000000001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</v>
      </c>
      <c r="C47" s="2">
        <v>31</v>
      </c>
      <c r="F47" s="23" t="s">
        <v>67</v>
      </c>
      <c r="G47" s="24">
        <v>16883.919999999998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11189.46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643.17999999999995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10344.879999999999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35550.449999999997</v>
      </c>
    </row>
    <row r="52" spans="1:9" ht="12.95" customHeight="1" thickBot="1" x14ac:dyDescent="0.25">
      <c r="A52" s="9" t="s">
        <v>35</v>
      </c>
      <c r="B52" s="10">
        <v>20.8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  <c r="F54" s="56" t="s">
        <v>175</v>
      </c>
      <c r="G54" s="56"/>
      <c r="H54" s="56"/>
    </row>
    <row r="55" spans="1:9" ht="12.95" customHeight="1" thickBot="1" x14ac:dyDescent="0.25">
      <c r="A55" s="9" t="s">
        <v>38</v>
      </c>
      <c r="B55" s="10"/>
      <c r="C55" s="2">
        <v>39</v>
      </c>
      <c r="F55" s="23" t="s">
        <v>111</v>
      </c>
      <c r="G55" s="24"/>
      <c r="H55" s="12">
        <v>23</v>
      </c>
    </row>
    <row r="56" spans="1:9" ht="12.95" customHeight="1" thickBot="1" x14ac:dyDescent="0.25">
      <c r="A56" s="9" t="s">
        <v>39</v>
      </c>
      <c r="B56" s="10">
        <v>1079405.3700000001</v>
      </c>
      <c r="C56" s="2">
        <v>40</v>
      </c>
      <c r="F56" s="23" t="s">
        <v>112</v>
      </c>
      <c r="G56" s="24">
        <v>2694.92</v>
      </c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2654708.2799999998</v>
      </c>
      <c r="F57" s="23" t="s">
        <v>115</v>
      </c>
      <c r="G57" s="24">
        <v>381.02</v>
      </c>
      <c r="H57" s="12">
        <v>23</v>
      </c>
      <c r="I57" s="12"/>
    </row>
    <row r="58" spans="1:9" ht="12.95" customHeight="1" thickBot="1" x14ac:dyDescent="0.25">
      <c r="A58" s="5" t="s">
        <v>41</v>
      </c>
      <c r="B58" s="11">
        <f>B24-B57</f>
        <v>935858.52000000048</v>
      </c>
      <c r="F58" s="13"/>
      <c r="G58" s="37">
        <f>SUM(G55:G57)</f>
        <v>3075.94</v>
      </c>
    </row>
    <row r="59" spans="1:9" ht="12.95" customHeight="1" thickBot="1" x14ac:dyDescent="0.25">
      <c r="A59" s="5" t="s">
        <v>42</v>
      </c>
      <c r="B59" s="11">
        <f>B8+B24-B57</f>
        <v>9694451.0600000061</v>
      </c>
      <c r="F59" s="64" t="s">
        <v>179</v>
      </c>
      <c r="G59" s="64"/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Junho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7245265.05+2448341.96</f>
        <v>9693607.0099999998</v>
      </c>
    </row>
    <row r="66" spans="1:7" ht="12.95" customHeight="1" thickBot="1" x14ac:dyDescent="0.25">
      <c r="A66" s="4" t="s">
        <v>46</v>
      </c>
      <c r="B66" s="10">
        <v>844.05</v>
      </c>
    </row>
    <row r="67" spans="1:7" ht="12.95" customHeight="1" thickBot="1" x14ac:dyDescent="0.25">
      <c r="A67" s="5" t="s">
        <v>47</v>
      </c>
      <c r="B67" s="11">
        <f>SUM(B64:B66)</f>
        <v>9694451.0600000005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Junho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9694451.0600000005</v>
      </c>
      <c r="C73" s="25"/>
    </row>
    <row r="74" spans="1:7" ht="12.95" customHeight="1" thickBot="1" x14ac:dyDescent="0.25">
      <c r="A74" s="5" t="s">
        <v>47</v>
      </c>
      <c r="B74" s="11">
        <f>SUM(B72:B73)</f>
        <v>9694451.0600000005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180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Junho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6">
    <mergeCell ref="J8:K8"/>
    <mergeCell ref="A6:A7"/>
    <mergeCell ref="C6:C7"/>
    <mergeCell ref="F59:G59"/>
    <mergeCell ref="J13:K13"/>
    <mergeCell ref="F32:H32"/>
    <mergeCell ref="F54:H54"/>
    <mergeCell ref="A61:E61"/>
    <mergeCell ref="C77:D79"/>
    <mergeCell ref="A1:C1"/>
    <mergeCell ref="A2:C2"/>
    <mergeCell ref="A3:B3"/>
    <mergeCell ref="A70:A71"/>
    <mergeCell ref="A76:E76"/>
    <mergeCell ref="A62:A63"/>
    <mergeCell ref="A69:E69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0CAA-2430-40EB-9353-806CA9819FAB}">
  <sheetPr>
    <pageSetUpPr fitToPage="1"/>
  </sheetPr>
  <dimension ref="A1:K84"/>
  <sheetViews>
    <sheetView showGridLines="0" topLeftCell="A70" zoomScale="110" zoomScaleNormal="110" workbookViewId="0">
      <selection activeCell="C77" sqref="C77:D81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181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129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Jun!B59</f>
        <v>9694451.0600000061</v>
      </c>
      <c r="F8" s="18" t="s">
        <v>107</v>
      </c>
      <c r="G8" s="21" t="s">
        <v>186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2806661.42</v>
      </c>
      <c r="H9" s="44">
        <v>1</v>
      </c>
      <c r="I9" s="33"/>
      <c r="J9" s="18" t="s">
        <v>70</v>
      </c>
      <c r="K9" s="26" t="s">
        <v>183</v>
      </c>
    </row>
    <row r="10" spans="1:11" ht="12.95" customHeight="1" thickBot="1" x14ac:dyDescent="0.25">
      <c r="A10" s="4" t="s">
        <v>6</v>
      </c>
      <c r="B10" s="10">
        <v>2806661.42</v>
      </c>
      <c r="C10" s="2">
        <v>1</v>
      </c>
      <c r="F10" s="23" t="s">
        <v>72</v>
      </c>
      <c r="G10" s="16">
        <v>122287.52</v>
      </c>
      <c r="H10" s="44">
        <v>7</v>
      </c>
      <c r="I10" s="33"/>
      <c r="J10" s="18" t="s">
        <v>118</v>
      </c>
      <c r="K10" s="26" t="s">
        <v>184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4207.5</v>
      </c>
      <c r="H11" s="44">
        <v>13</v>
      </c>
      <c r="I11" s="33"/>
      <c r="J11" s="18" t="s">
        <v>71</v>
      </c>
      <c r="K11" s="26" t="s">
        <v>185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-347356.49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-152925.1</v>
      </c>
      <c r="H13" s="44">
        <v>16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-117710.3</v>
      </c>
      <c r="H14" s="44">
        <v>18</v>
      </c>
      <c r="I14" s="33"/>
      <c r="J14" s="18" t="s">
        <v>114</v>
      </c>
      <c r="K14" s="26">
        <v>750572.7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-12711.86</v>
      </c>
      <c r="H15" s="44">
        <v>19</v>
      </c>
      <c r="I15" s="33"/>
      <c r="J15" s="18" t="s">
        <v>159</v>
      </c>
      <c r="K15" s="26">
        <f>1475347.52+12367.99+7333686.95</f>
        <v>8821402.4600000009</v>
      </c>
    </row>
    <row r="16" spans="1:11" ht="12.95" customHeight="1" thickBot="1" x14ac:dyDescent="0.25">
      <c r="A16" s="4" t="s">
        <v>7</v>
      </c>
      <c r="B16" s="10">
        <v>122287.52</v>
      </c>
      <c r="C16" s="2">
        <v>7</v>
      </c>
      <c r="F16" s="23" t="s">
        <v>77</v>
      </c>
      <c r="G16" s="16">
        <v>-62893.89</v>
      </c>
      <c r="H16" s="44">
        <v>21</v>
      </c>
      <c r="I16" s="33"/>
      <c r="J16" s="18" t="s">
        <v>106</v>
      </c>
      <c r="K16" s="26">
        <v>536.70000000000005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-30100.820000000007</v>
      </c>
      <c r="H17" s="44">
        <v>25</v>
      </c>
      <c r="I17" s="33"/>
      <c r="J17" s="30"/>
      <c r="K17" s="26">
        <f>SUM(K14:K16)</f>
        <v>9572511.8599999994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-292312.23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-734278.5399999998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-30672.87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-7101.2900000000009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>
        <v>4207.5</v>
      </c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-22.769999999999992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2933156.44</v>
      </c>
      <c r="F24" s="23" t="s">
        <v>85</v>
      </c>
      <c r="G24" s="16">
        <v>-1266220.76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-121939.19999999949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693597.64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347356.49-B29</f>
        <v>317143.82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152925.1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30212.67</v>
      </c>
      <c r="C29" s="2">
        <v>17</v>
      </c>
    </row>
    <row r="30" spans="1:11" ht="12.95" customHeight="1" thickBot="1" x14ac:dyDescent="0.25">
      <c r="A30" s="8" t="s">
        <v>15</v>
      </c>
      <c r="B30" s="10">
        <f>117710.3-3630.97</f>
        <v>114079.33</v>
      </c>
      <c r="C30" s="2">
        <v>18</v>
      </c>
    </row>
    <row r="31" spans="1:11" ht="12.95" customHeight="1" thickBot="1" x14ac:dyDescent="0.25">
      <c r="A31" s="8" t="s">
        <v>16</v>
      </c>
      <c r="B31" s="10">
        <v>12711.86</v>
      </c>
      <c r="C31" s="2">
        <v>19</v>
      </c>
    </row>
    <row r="32" spans="1:11" ht="12.95" customHeight="1" thickBot="1" x14ac:dyDescent="0.25">
      <c r="A32" s="8" t="s">
        <v>17</v>
      </c>
      <c r="B32" s="10">
        <f>54.53</f>
        <v>54.53</v>
      </c>
      <c r="C32" s="2">
        <v>20</v>
      </c>
      <c r="F32" s="56" t="s">
        <v>182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62893.89+3576.44</f>
        <v>66470.33</v>
      </c>
      <c r="C33" s="2">
        <v>21</v>
      </c>
      <c r="F33" s="12" t="s">
        <v>57</v>
      </c>
      <c r="G33" s="40">
        <v>2785.38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791.06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54.53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322413.05</v>
      </c>
      <c r="F37" s="12"/>
      <c r="G37" s="38">
        <f>SUM(G33:G36)</f>
        <v>3630.9700000000003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30100.82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30100.82</v>
      </c>
      <c r="C39" s="2">
        <v>25</v>
      </c>
      <c r="F39" s="23" t="s">
        <v>61</v>
      </c>
      <c r="G39" s="24">
        <v>6710.05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292312.23</v>
      </c>
      <c r="C41" s="2">
        <v>27</v>
      </c>
      <c r="F41" s="23" t="s">
        <v>63</v>
      </c>
      <c r="G41" s="24">
        <v>3393.56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764951.41</v>
      </c>
      <c r="F42" s="23" t="s">
        <v>64</v>
      </c>
      <c r="G42" s="24">
        <v>1355.51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734278.54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30672.87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18753.55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7101.29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30212.67</v>
      </c>
    </row>
    <row r="52" spans="1:9" ht="12.95" customHeight="1" thickBot="1" x14ac:dyDescent="0.25">
      <c r="A52" s="9" t="s">
        <v>35</v>
      </c>
      <c r="B52" s="10">
        <v>22.77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1266220.76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3055095.64</v>
      </c>
      <c r="F57" s="12"/>
    </row>
    <row r="58" spans="1:9" ht="12.95" customHeight="1" thickBot="1" x14ac:dyDescent="0.25">
      <c r="A58" s="5" t="s">
        <v>41</v>
      </c>
      <c r="B58" s="11">
        <f>B24-B57</f>
        <v>-121939.20000000019</v>
      </c>
    </row>
    <row r="59" spans="1:9" ht="12.95" customHeight="1" thickBot="1" x14ac:dyDescent="0.25">
      <c r="A59" s="5" t="s">
        <v>42</v>
      </c>
      <c r="B59" s="11">
        <f>B8+B24-B57</f>
        <v>9572511.860000005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Julho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750572.7+1475347.52+12367.99+7333686.95</f>
        <v>9571975.1600000001</v>
      </c>
    </row>
    <row r="66" spans="1:7" ht="12.95" customHeight="1" thickBot="1" x14ac:dyDescent="0.25">
      <c r="A66" s="4" t="s">
        <v>46</v>
      </c>
      <c r="B66" s="10">
        <v>536.70000000000005</v>
      </c>
    </row>
    <row r="67" spans="1:7" ht="12.95" customHeight="1" thickBot="1" x14ac:dyDescent="0.25">
      <c r="A67" s="5" t="s">
        <v>47</v>
      </c>
      <c r="B67" s="11">
        <f>SUM(B64:B66)</f>
        <v>9572511.8599999994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Julho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9572511.8599999994</v>
      </c>
      <c r="C73" s="25"/>
    </row>
    <row r="74" spans="1:7" ht="12.95" customHeight="1" thickBot="1" x14ac:dyDescent="0.25">
      <c r="A74" s="5" t="s">
        <v>47</v>
      </c>
      <c r="B74" s="11">
        <f>SUM(B72:B73)</f>
        <v>9572511.8599999994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187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Julho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57"/>
      <c r="D81" s="57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sortState xmlns:xlrd2="http://schemas.microsoft.com/office/spreadsheetml/2017/richdata2" ref="F9:H24">
    <sortCondition ref="H9:H24"/>
  </sortState>
  <mergeCells count="14">
    <mergeCell ref="A69:E69"/>
    <mergeCell ref="A70:A71"/>
    <mergeCell ref="A76:E76"/>
    <mergeCell ref="C77:D81"/>
    <mergeCell ref="J13:K13"/>
    <mergeCell ref="F32:H32"/>
    <mergeCell ref="A61:E61"/>
    <mergeCell ref="A62:A63"/>
    <mergeCell ref="J8:K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8131-EAC7-4A58-8F84-03E7CC475371}">
  <sheetPr>
    <pageSetUpPr fitToPage="1"/>
  </sheetPr>
  <dimension ref="A1:L84"/>
  <sheetViews>
    <sheetView showGridLines="0" topLeftCell="A73" zoomScale="110" zoomScaleNormal="11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6"/>
      <c r="E1" s="6"/>
    </row>
    <row r="2" spans="1:12" ht="12.95" customHeight="1" x14ac:dyDescent="0.2">
      <c r="A2" s="59" t="s">
        <v>0</v>
      </c>
      <c r="B2" s="59"/>
      <c r="C2" s="59"/>
      <c r="D2" s="42"/>
      <c r="E2" s="42"/>
    </row>
    <row r="3" spans="1:12" ht="12.95" customHeight="1" thickBot="1" x14ac:dyDescent="0.25">
      <c r="A3" s="59" t="s">
        <v>188</v>
      </c>
      <c r="B3" s="59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130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Jul!B59</f>
        <v>9572511.860000005</v>
      </c>
      <c r="F8" s="18" t="s">
        <v>107</v>
      </c>
      <c r="G8" s="21" t="s">
        <v>193</v>
      </c>
      <c r="H8" s="21" t="s">
        <v>54</v>
      </c>
      <c r="I8" s="52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23" t="s">
        <v>143</v>
      </c>
      <c r="G9" s="16">
        <v>3496430.99</v>
      </c>
      <c r="H9" s="44">
        <v>1</v>
      </c>
      <c r="I9" s="44"/>
      <c r="J9" s="33"/>
      <c r="K9" s="18" t="s">
        <v>70</v>
      </c>
      <c r="L9" s="26" t="s">
        <v>190</v>
      </c>
    </row>
    <row r="10" spans="1:12" ht="12.95" customHeight="1" thickBot="1" x14ac:dyDescent="0.25">
      <c r="A10" s="4" t="s">
        <v>6</v>
      </c>
      <c r="B10" s="10">
        <v>3496430.99</v>
      </c>
      <c r="C10" s="2">
        <v>1</v>
      </c>
      <c r="F10" s="23" t="s">
        <v>72</v>
      </c>
      <c r="G10" s="16">
        <v>109851.83999999998</v>
      </c>
      <c r="H10" s="44">
        <v>7</v>
      </c>
      <c r="I10" s="44"/>
      <c r="J10" s="33"/>
      <c r="K10" s="18" t="s">
        <v>118</v>
      </c>
      <c r="L10" s="26" t="s">
        <v>191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-347346.81</v>
      </c>
      <c r="H11" s="44">
        <v>15</v>
      </c>
      <c r="I11" s="44"/>
      <c r="J11" s="33"/>
      <c r="K11" s="18" t="s">
        <v>71</v>
      </c>
      <c r="L11" s="26" t="s">
        <v>192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-147498.74000000002</v>
      </c>
      <c r="H12" s="44">
        <v>16</v>
      </c>
      <c r="I12" s="4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-127316.48</v>
      </c>
      <c r="H13" s="44">
        <v>18</v>
      </c>
      <c r="I13" s="44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-8772.11</v>
      </c>
      <c r="H14" s="44">
        <v>19</v>
      </c>
      <c r="I14" s="44"/>
      <c r="J14" s="33"/>
      <c r="K14" s="18" t="s">
        <v>114</v>
      </c>
      <c r="L14" s="26">
        <v>1288698.58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-39137.07</v>
      </c>
      <c r="H15" s="44">
        <v>21</v>
      </c>
      <c r="I15" s="44"/>
      <c r="J15" s="33"/>
      <c r="K15" s="18" t="s">
        <v>159</v>
      </c>
      <c r="L15" s="26">
        <f>1475347.52+28527.66+7550023.73</f>
        <v>9053898.9100000001</v>
      </c>
    </row>
    <row r="16" spans="1:12" ht="12.95" customHeight="1" thickBot="1" x14ac:dyDescent="0.25">
      <c r="A16" s="4" t="s">
        <v>7</v>
      </c>
      <c r="B16" s="10">
        <v>109851.84</v>
      </c>
      <c r="C16" s="2">
        <v>7</v>
      </c>
      <c r="F16" s="23" t="s">
        <v>78</v>
      </c>
      <c r="G16" s="16">
        <v>-31882.43</v>
      </c>
      <c r="H16" s="44">
        <v>25</v>
      </c>
      <c r="I16" s="44"/>
      <c r="J16" s="33"/>
      <c r="K16" s="18" t="s">
        <v>106</v>
      </c>
      <c r="L16" s="26">
        <v>433.82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-359217.33</v>
      </c>
      <c r="H17" s="44">
        <v>27</v>
      </c>
      <c r="I17" s="44"/>
      <c r="J17" s="33"/>
      <c r="K17" s="30"/>
      <c r="L17" s="26">
        <f>SUM(L14:L16)</f>
        <v>10343031.310000001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-350017.91000000009</v>
      </c>
      <c r="H18" s="44">
        <v>28</v>
      </c>
      <c r="I18" s="4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-34668.81</v>
      </c>
      <c r="H19" s="44">
        <v>30</v>
      </c>
      <c r="I19" s="4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-7699.82</v>
      </c>
      <c r="H20" s="44">
        <v>34</v>
      </c>
      <c r="I20" s="4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44"/>
      <c r="J21" s="33"/>
    </row>
    <row r="22" spans="1:12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-20.789999999999996</v>
      </c>
      <c r="H22" s="44">
        <v>36</v>
      </c>
      <c r="I22" s="4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-1381276.36</v>
      </c>
      <c r="H23" s="44">
        <v>40</v>
      </c>
      <c r="I23" s="44"/>
      <c r="J23" s="33"/>
    </row>
    <row r="24" spans="1:12" ht="12.95" customHeight="1" thickBot="1" x14ac:dyDescent="0.25">
      <c r="A24" s="5" t="s">
        <v>9</v>
      </c>
      <c r="B24" s="11">
        <f>SUM(B10:B23)</f>
        <v>3606282.83</v>
      </c>
      <c r="F24" s="19" t="s">
        <v>56</v>
      </c>
      <c r="G24" s="20">
        <f>SUBTOTAL(9,G9:G23)</f>
        <v>770519.44999999949</v>
      </c>
      <c r="H24" s="20"/>
      <c r="I24" s="53"/>
      <c r="J24" s="34"/>
    </row>
    <row r="25" spans="1:12" ht="12.95" customHeight="1" thickBot="1" x14ac:dyDescent="0.25">
      <c r="A25" s="7" t="s">
        <v>10</v>
      </c>
      <c r="B25" s="14"/>
      <c r="J25" s="33"/>
    </row>
    <row r="26" spans="1:12" ht="12.95" customHeight="1" thickBot="1" x14ac:dyDescent="0.25">
      <c r="A26" s="5" t="s">
        <v>11</v>
      </c>
      <c r="B26" s="11">
        <f>SUM(B27:B36)</f>
        <v>670071.21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347346.81-B29</f>
        <v>320016.15999999997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f>147498.74</f>
        <v>147498.74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27330.649999999998</v>
      </c>
      <c r="C29" s="2">
        <v>17</v>
      </c>
    </row>
    <row r="30" spans="1:12" ht="12.95" customHeight="1" thickBot="1" x14ac:dyDescent="0.25">
      <c r="A30" s="8" t="s">
        <v>15</v>
      </c>
      <c r="B30" s="10">
        <f>-11150.1+127316.48</f>
        <v>116166.37999999999</v>
      </c>
      <c r="C30" s="2">
        <v>18</v>
      </c>
    </row>
    <row r="31" spans="1:12" ht="12.95" customHeight="1" thickBot="1" x14ac:dyDescent="0.25">
      <c r="A31" s="8" t="s">
        <v>16</v>
      </c>
      <c r="B31" s="10">
        <f>8772.11</f>
        <v>8772.11</v>
      </c>
      <c r="C31" s="2">
        <v>19</v>
      </c>
    </row>
    <row r="32" spans="1:12" ht="12.95" customHeight="1" thickBot="1" x14ac:dyDescent="0.25">
      <c r="A32" s="8" t="s">
        <v>17</v>
      </c>
      <c r="B32" s="10">
        <f>223.27</f>
        <v>223.27</v>
      </c>
      <c r="C32" s="2">
        <v>20</v>
      </c>
      <c r="F32" s="56" t="s">
        <v>189</v>
      </c>
      <c r="G32" s="56"/>
      <c r="H32" s="56"/>
      <c r="I32" s="51"/>
      <c r="J32" s="28"/>
    </row>
    <row r="33" spans="1:12" ht="12.95" customHeight="1" thickBot="1" x14ac:dyDescent="0.25">
      <c r="A33" s="8" t="s">
        <v>18</v>
      </c>
      <c r="B33" s="10">
        <f>10926.83+39137.07</f>
        <v>50063.9</v>
      </c>
      <c r="C33" s="2">
        <v>21</v>
      </c>
      <c r="F33" s="12" t="s">
        <v>57</v>
      </c>
      <c r="G33" s="40">
        <v>6039.23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4887.6000000000004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223.27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391099.76</v>
      </c>
      <c r="F37" s="12"/>
      <c r="G37" s="38">
        <f>SUM(G33:G36)</f>
        <v>11150.1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31882.43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f>31882.43</f>
        <v>31882.43</v>
      </c>
      <c r="C39" s="2">
        <v>25</v>
      </c>
      <c r="F39" s="23" t="s">
        <v>61</v>
      </c>
      <c r="G39" s="24">
        <v>4802.4399999999996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f>359217.33</f>
        <v>359217.33</v>
      </c>
      <c r="C41" s="2">
        <v>27</v>
      </c>
      <c r="F41" s="23" t="s">
        <v>63</v>
      </c>
      <c r="G41" s="24">
        <v>2134.88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384686.72</v>
      </c>
      <c r="F42" s="23" t="s">
        <v>64</v>
      </c>
      <c r="G42" s="24">
        <v>974.04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f>350017.91</f>
        <v>350017.91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34668.81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18053.189999999999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1366.1</v>
      </c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7699.82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f>908.72</f>
        <v>908.72</v>
      </c>
      <c r="C51" s="2">
        <v>35</v>
      </c>
      <c r="F51" s="13"/>
      <c r="G51" s="37">
        <f>SUM(G39:G50)</f>
        <v>27330.649999999998</v>
      </c>
    </row>
    <row r="52" spans="1:10" ht="12.95" customHeight="1" thickBot="1" x14ac:dyDescent="0.25">
      <c r="A52" s="9" t="s">
        <v>35</v>
      </c>
      <c r="B52" s="10">
        <v>20.79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1381276.36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2835763.38</v>
      </c>
      <c r="F57" s="12"/>
    </row>
    <row r="58" spans="1:10" ht="12.95" customHeight="1" thickBot="1" x14ac:dyDescent="0.25">
      <c r="A58" s="5" t="s">
        <v>41</v>
      </c>
      <c r="B58" s="11">
        <f>B24-B57</f>
        <v>770519.45000000019</v>
      </c>
    </row>
    <row r="59" spans="1:10" ht="12.95" customHeight="1" thickBot="1" x14ac:dyDescent="0.25">
      <c r="A59" s="5" t="s">
        <v>42</v>
      </c>
      <c r="B59" s="11">
        <f>B8+B24-B57</f>
        <v>10343031.310000006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62" t="s">
        <v>43</v>
      </c>
      <c r="B61" s="62"/>
      <c r="C61" s="62"/>
      <c r="D61" s="62"/>
      <c r="E61" s="62"/>
    </row>
    <row r="62" spans="1:10" ht="12.95" customHeight="1" thickBot="1" x14ac:dyDescent="0.25">
      <c r="A62" s="60"/>
      <c r="B62" s="3" t="str">
        <f>B6</f>
        <v>Agosto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10342597.49</f>
        <v>10342597.49</v>
      </c>
    </row>
    <row r="66" spans="1:7" ht="12.95" customHeight="1" thickBot="1" x14ac:dyDescent="0.25">
      <c r="A66" s="4" t="s">
        <v>46</v>
      </c>
      <c r="B66" s="10">
        <v>433.82</v>
      </c>
    </row>
    <row r="67" spans="1:7" ht="12.95" customHeight="1" thickBot="1" x14ac:dyDescent="0.25">
      <c r="A67" s="5" t="s">
        <v>47</v>
      </c>
      <c r="B67" s="11">
        <f>SUM(B64:B66)</f>
        <v>10343031.310000001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Agosto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10343031.310000001</v>
      </c>
      <c r="C73" s="25"/>
    </row>
    <row r="74" spans="1:7" ht="12.95" customHeight="1" thickBot="1" x14ac:dyDescent="0.25">
      <c r="A74" s="5" t="s">
        <v>47</v>
      </c>
      <c r="B74" s="11">
        <f>SUM(B72:B73)</f>
        <v>10343031.310000001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194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Agosto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4">
    <mergeCell ref="K8:L8"/>
    <mergeCell ref="A1:C1"/>
    <mergeCell ref="A2:C2"/>
    <mergeCell ref="A3:B3"/>
    <mergeCell ref="A6:A7"/>
    <mergeCell ref="C6:C7"/>
    <mergeCell ref="A76:E76"/>
    <mergeCell ref="C77:D80"/>
    <mergeCell ref="K13:L13"/>
    <mergeCell ref="F32:H32"/>
    <mergeCell ref="A61:E61"/>
    <mergeCell ref="A62:A63"/>
    <mergeCell ref="A69:E69"/>
    <mergeCell ref="A70:A71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384E-18BB-491E-B4B0-F5C760E4BC22}">
  <sheetPr>
    <pageSetUpPr fitToPage="1"/>
  </sheetPr>
  <dimension ref="A1:K84"/>
  <sheetViews>
    <sheetView showGridLines="0" topLeftCell="A64" zoomScaleNormal="100" workbookViewId="0">
      <selection activeCell="C77" sqref="C77:D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195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131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Agosto!B59</f>
        <v>10343031.310000006</v>
      </c>
      <c r="F8" s="18" t="s">
        <v>107</v>
      </c>
      <c r="G8" s="21" t="s">
        <v>196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3606513.1700000004</v>
      </c>
      <c r="H9" s="44">
        <v>1</v>
      </c>
      <c r="I9" s="33"/>
      <c r="J9" s="18" t="s">
        <v>70</v>
      </c>
      <c r="K9" s="26" t="s">
        <v>197</v>
      </c>
    </row>
    <row r="10" spans="1:11" ht="12.95" customHeight="1" thickBot="1" x14ac:dyDescent="0.25">
      <c r="A10" s="4" t="s">
        <v>6</v>
      </c>
      <c r="B10" s="10">
        <v>3606513.17</v>
      </c>
      <c r="C10" s="2">
        <v>1</v>
      </c>
      <c r="F10" s="23" t="s">
        <v>72</v>
      </c>
      <c r="G10" s="16">
        <v>125276.55999999998</v>
      </c>
      <c r="H10" s="44">
        <v>7</v>
      </c>
      <c r="I10" s="33"/>
      <c r="J10" s="18" t="s">
        <v>118</v>
      </c>
      <c r="K10" s="26" t="s">
        <v>198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-346773.41000000003</v>
      </c>
      <c r="H11" s="44">
        <v>15</v>
      </c>
      <c r="I11" s="33"/>
      <c r="J11" s="18" t="s">
        <v>71</v>
      </c>
      <c r="K11" s="26" t="s">
        <v>199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-162951.03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-120504.98999999999</v>
      </c>
      <c r="H13" s="44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-1953.56</v>
      </c>
      <c r="H14" s="44">
        <v>19</v>
      </c>
      <c r="I14" s="33"/>
      <c r="J14" s="18" t="s">
        <v>114</v>
      </c>
      <c r="K14" s="26">
        <v>3848292.56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-25879.97</v>
      </c>
      <c r="H15" s="44">
        <v>21</v>
      </c>
      <c r="I15" s="33"/>
      <c r="J15" s="18" t="s">
        <v>159</v>
      </c>
      <c r="K15" s="26">
        <v>7638179.2300000004</v>
      </c>
    </row>
    <row r="16" spans="1:11" ht="12.95" customHeight="1" thickBot="1" x14ac:dyDescent="0.25">
      <c r="A16" s="4" t="s">
        <v>7</v>
      </c>
      <c r="B16" s="10">
        <v>125276.56</v>
      </c>
      <c r="C16" s="2">
        <v>7</v>
      </c>
      <c r="F16" s="23" t="s">
        <v>78</v>
      </c>
      <c r="G16" s="16">
        <v>-33278.780000000006</v>
      </c>
      <c r="H16" s="44">
        <v>25</v>
      </c>
      <c r="I16" s="33"/>
      <c r="J16" s="18" t="s">
        <v>106</v>
      </c>
      <c r="K16" s="26">
        <v>372.51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-226249.44999999995</v>
      </c>
      <c r="H17" s="44">
        <v>27</v>
      </c>
      <c r="I17" s="33"/>
      <c r="J17" s="30"/>
      <c r="K17" s="26">
        <f>SUM(K14:K16)</f>
        <v>11486844.300000001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-320189.94000000012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-28786.169999999995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-8209.67</v>
      </c>
      <c r="H20" s="44">
        <v>34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-31.460000000000012</v>
      </c>
      <c r="H22" s="44">
        <v>36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-1312259.5900000001</v>
      </c>
      <c r="H23" s="44">
        <v>40</v>
      </c>
      <c r="I23" s="33"/>
    </row>
    <row r="24" spans="1:11" ht="12.95" customHeight="1" thickBot="1" x14ac:dyDescent="0.25">
      <c r="A24" s="5" t="s">
        <v>9</v>
      </c>
      <c r="B24" s="11">
        <f>SUM(B10:B23)</f>
        <v>3731789.73</v>
      </c>
      <c r="F24" s="19" t="s">
        <v>56</v>
      </c>
      <c r="G24" s="20">
        <f>SUBTOTAL(9,G9:G23)</f>
        <v>1143812.9900000009</v>
      </c>
      <c r="H24" s="20"/>
      <c r="I24" s="34"/>
    </row>
    <row r="25" spans="1:11" ht="12.95" customHeight="1" thickBot="1" x14ac:dyDescent="0.25">
      <c r="A25" s="7" t="s">
        <v>10</v>
      </c>
      <c r="B25" s="14"/>
      <c r="I25" s="33"/>
    </row>
    <row r="26" spans="1:11" ht="12.95" customHeight="1" thickBot="1" x14ac:dyDescent="0.25">
      <c r="A26" s="5" t="s">
        <v>11</v>
      </c>
      <c r="B26" s="11">
        <f>SUM(B27:B36)</f>
        <v>658062.96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v>346773.41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162951.03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/>
      <c r="C29" s="2">
        <v>17</v>
      </c>
    </row>
    <row r="30" spans="1:11" ht="12.95" customHeight="1" thickBot="1" x14ac:dyDescent="0.25">
      <c r="A30" s="8" t="s">
        <v>15</v>
      </c>
      <c r="B30" s="10">
        <f>120504.99-5881.8</f>
        <v>114623.19</v>
      </c>
      <c r="C30" s="2">
        <v>18</v>
      </c>
    </row>
    <row r="31" spans="1:11" ht="12.95" customHeight="1" thickBot="1" x14ac:dyDescent="0.25">
      <c r="A31" s="8" t="s">
        <v>16</v>
      </c>
      <c r="B31" s="10">
        <v>1953.56</v>
      </c>
      <c r="C31" s="2">
        <v>19</v>
      </c>
    </row>
    <row r="32" spans="1:11" ht="12.95" customHeight="1" thickBot="1" x14ac:dyDescent="0.25">
      <c r="A32" s="8" t="s">
        <v>17</v>
      </c>
      <c r="B32" s="10">
        <f>322.31</f>
        <v>322.31</v>
      </c>
      <c r="C32" s="2">
        <v>20</v>
      </c>
      <c r="F32" s="56" t="s">
        <v>200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25879.97+5559.49</f>
        <v>31439.46</v>
      </c>
      <c r="C33" s="2">
        <v>21</v>
      </c>
      <c r="F33" s="12" t="s">
        <v>57</v>
      </c>
      <c r="G33" s="40">
        <v>3599.31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1960.18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>
        <v>7.48</v>
      </c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314.83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259528.23</v>
      </c>
      <c r="F37" s="12"/>
      <c r="G37" s="38">
        <f>SUM(G33:G36)</f>
        <v>5881.7999999999993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33278.78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33278.78</v>
      </c>
      <c r="C39" s="2">
        <v>25</v>
      </c>
      <c r="F39" s="23" t="s">
        <v>61</v>
      </c>
      <c r="G39" s="24">
        <v>6865.66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226249.45</v>
      </c>
      <c r="C41" s="2">
        <v>27</v>
      </c>
      <c r="F41" s="23" t="s">
        <v>63</v>
      </c>
      <c r="G41" s="24">
        <v>2684.14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348976.11</v>
      </c>
      <c r="F42" s="23" t="s">
        <v>64</v>
      </c>
      <c r="G42" s="24">
        <v>1424.49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320189.94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28786.17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9230.35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21300.28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8209.67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41504.92</v>
      </c>
    </row>
    <row r="52" spans="1:9" ht="12.95" customHeight="1" thickBot="1" x14ac:dyDescent="0.25">
      <c r="A52" s="9" t="s">
        <v>35</v>
      </c>
      <c r="B52" s="10">
        <v>31.46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1312259.5900000001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2587976.7399999998</v>
      </c>
      <c r="F57" s="12"/>
    </row>
    <row r="58" spans="1:9" ht="12.95" customHeight="1" thickBot="1" x14ac:dyDescent="0.25">
      <c r="A58" s="5" t="s">
        <v>41</v>
      </c>
      <c r="B58" s="11">
        <f>B24-B57</f>
        <v>1143812.9900000002</v>
      </c>
    </row>
    <row r="59" spans="1:9" ht="12.95" customHeight="1" thickBot="1" x14ac:dyDescent="0.25">
      <c r="A59" s="5" t="s">
        <v>42</v>
      </c>
      <c r="B59" s="11">
        <f>B8+B24-B57</f>
        <v>11486844.300000006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0"/>
      <c r="B62" s="3" t="str">
        <f>B6</f>
        <v>Setembro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7638179.23+3848292.56</f>
        <v>11486471.790000001</v>
      </c>
    </row>
    <row r="66" spans="1:7" ht="12.95" customHeight="1" thickBot="1" x14ac:dyDescent="0.25">
      <c r="A66" s="4" t="s">
        <v>46</v>
      </c>
      <c r="B66" s="10">
        <v>372.51</v>
      </c>
    </row>
    <row r="67" spans="1:7" ht="12.95" customHeight="1" thickBot="1" x14ac:dyDescent="0.25">
      <c r="A67" s="5" t="s">
        <v>47</v>
      </c>
      <c r="B67" s="11">
        <f>SUM(B64:B66)</f>
        <v>11486844.300000001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Setembro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11486844.300000001</v>
      </c>
      <c r="C73" s="25"/>
    </row>
    <row r="74" spans="1:7" ht="12.95" customHeight="1" thickBot="1" x14ac:dyDescent="0.25">
      <c r="A74" s="5" t="s">
        <v>47</v>
      </c>
      <c r="B74" s="11">
        <f>SUM(B72:B73)</f>
        <v>11486844.300000001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201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Setembro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J8:K8"/>
    <mergeCell ref="C77:D79"/>
    <mergeCell ref="A1:C1"/>
    <mergeCell ref="A2:C2"/>
    <mergeCell ref="A3:B3"/>
    <mergeCell ref="A6:A7"/>
    <mergeCell ref="C6:C7"/>
    <mergeCell ref="J13:K13"/>
    <mergeCell ref="F32:H32"/>
    <mergeCell ref="A62:A63"/>
    <mergeCell ref="A70:A71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11</vt:i4>
      </vt:variant>
    </vt:vector>
  </HeadingPairs>
  <TitlesOfParts>
    <vt:vector size="23" baseType="lpstr">
      <vt:lpstr>Jan</vt:lpstr>
      <vt:lpstr>Fev</vt:lpstr>
      <vt:lpstr>Mar</vt:lpstr>
      <vt:lpstr>Abr</vt:lpstr>
      <vt:lpstr>Mai</vt:lpstr>
      <vt:lpstr>Jun</vt:lpstr>
      <vt:lpstr>Jul</vt:lpstr>
      <vt:lpstr>Agosto</vt:lpstr>
      <vt:lpstr>Setembro</vt:lpstr>
      <vt:lpstr>Outubro</vt:lpstr>
      <vt:lpstr>Novembro</vt:lpstr>
      <vt:lpstr>2025</vt:lpstr>
      <vt:lpstr>Abr!Area_de_impressao</vt:lpstr>
      <vt:lpstr>Agosto!Area_de_impressao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Novembro!Area_de_impressao</vt:lpstr>
      <vt:lpstr>Outubro!Area_de_impressao</vt:lpstr>
      <vt:lpstr>Setembro!Area_de_impressao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Jeane da Silva Moura</dc:creator>
  <cp:lastModifiedBy>Jeane da Silva Moura</cp:lastModifiedBy>
  <cp:lastPrinted>2025-11-17T17:11:43Z</cp:lastPrinted>
  <dcterms:created xsi:type="dcterms:W3CDTF">2021-02-24T18:56:59Z</dcterms:created>
  <dcterms:modified xsi:type="dcterms:W3CDTF">2025-12-16T12:17:21Z</dcterms:modified>
</cp:coreProperties>
</file>